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806"/>
  </bookViews>
  <sheets>
    <sheet name="TRUNION" sheetId="20" r:id="rId1"/>
    <sheet name="Sheet2" sheetId="18" r:id="rId2"/>
  </sheets>
  <calcPr calcId="144525"/>
</workbook>
</file>

<file path=xl/calcChain.xml><?xml version="1.0" encoding="utf-8"?>
<calcChain xmlns="http://schemas.openxmlformats.org/spreadsheetml/2006/main">
  <c r="F11" i="20" l="1"/>
  <c r="I10" i="20"/>
  <c r="F7" i="20" l="1"/>
  <c r="F25" i="20" l="1"/>
  <c r="F24" i="20"/>
  <c r="F23" i="20"/>
  <c r="F28" i="20" s="1"/>
  <c r="F19" i="20"/>
  <c r="F15" i="20"/>
  <c r="F16" i="20" s="1"/>
  <c r="F14" i="20"/>
  <c r="F18" i="20" s="1"/>
  <c r="F21" i="20" l="1"/>
  <c r="F27" i="20"/>
  <c r="F20" i="20"/>
  <c r="F26" i="20"/>
  <c r="F29" i="20" l="1"/>
  <c r="C30" i="20" s="1"/>
  <c r="C6" i="18" l="1"/>
  <c r="C5" i="18"/>
</calcChain>
</file>

<file path=xl/sharedStrings.xml><?xml version="1.0" encoding="utf-8"?>
<sst xmlns="http://schemas.openxmlformats.org/spreadsheetml/2006/main" count="80" uniqueCount="64">
  <si>
    <t>Description</t>
  </si>
  <si>
    <t>Symbol</t>
  </si>
  <si>
    <t>mm</t>
  </si>
  <si>
    <t>Mpa</t>
  </si>
  <si>
    <t>Sr No</t>
  </si>
  <si>
    <t>Value</t>
  </si>
  <si>
    <t>kgf</t>
  </si>
  <si>
    <t>mm2</t>
  </si>
  <si>
    <t>kgf-mm</t>
  </si>
  <si>
    <t>mm4</t>
  </si>
  <si>
    <t>t</t>
  </si>
  <si>
    <t>Fz</t>
  </si>
  <si>
    <t>Unit</t>
  </si>
  <si>
    <t>A</t>
  </si>
  <si>
    <t xml:space="preserve">tray weight </t>
  </si>
  <si>
    <t>TVOSEP4-C1</t>
  </si>
  <si>
    <t xml:space="preserve">SUPPORT RING </t>
  </si>
  <si>
    <t xml:space="preserve">BASE TRAY </t>
  </si>
  <si>
    <t>DIA 12</t>
  </si>
  <si>
    <t xml:space="preserve">FLAT PLATE </t>
  </si>
  <si>
    <t>22 X 2</t>
  </si>
  <si>
    <t>Allowable stress</t>
  </si>
  <si>
    <t xml:space="preserve">LIFTED WEIGHT </t>
  </si>
  <si>
    <r>
      <t>W</t>
    </r>
    <r>
      <rPr>
        <vertAlign val="subscript"/>
        <sz val="11"/>
        <color theme="1"/>
        <rFont val="Calibri"/>
        <family val="2"/>
        <scheme val="minor"/>
      </rPr>
      <t xml:space="preserve">lifted </t>
    </r>
  </si>
  <si>
    <t xml:space="preserve">Weight on one Trunion </t>
  </si>
  <si>
    <t>Impact Factor</t>
  </si>
  <si>
    <t>MOC OF trunion pipe</t>
  </si>
  <si>
    <t>yield stress</t>
  </si>
  <si>
    <t>σy</t>
  </si>
  <si>
    <t>σallowable</t>
  </si>
  <si>
    <t xml:space="preserve">Dia of pipe </t>
  </si>
  <si>
    <t>OD</t>
  </si>
  <si>
    <t>Thk of Pipe</t>
  </si>
  <si>
    <t>Aveg Dia of Pipe</t>
  </si>
  <si>
    <t>OD-t</t>
  </si>
  <si>
    <t>Fxy</t>
  </si>
  <si>
    <t xml:space="preserve">Longitudinal Moment </t>
  </si>
  <si>
    <t>Mxy</t>
  </si>
  <si>
    <t xml:space="preserve">Total Length of trunion </t>
  </si>
  <si>
    <t>σc</t>
  </si>
  <si>
    <t>Fmax</t>
  </si>
  <si>
    <t>Mmax</t>
  </si>
  <si>
    <t>Tensile stress</t>
  </si>
  <si>
    <t xml:space="preserve">Stability </t>
  </si>
  <si>
    <t>Allowable Compress Stress</t>
  </si>
  <si>
    <t>Normal Force</t>
  </si>
  <si>
    <t>Weld STRESS</t>
  </si>
  <si>
    <t>Area</t>
  </si>
  <si>
    <t>ν</t>
  </si>
  <si>
    <t>Radius of gyration</t>
  </si>
  <si>
    <t xml:space="preserve">Weld Inertia </t>
  </si>
  <si>
    <t>I</t>
  </si>
  <si>
    <t>Shear stress</t>
  </si>
  <si>
    <t>τ</t>
  </si>
  <si>
    <t>Bending Stress</t>
  </si>
  <si>
    <t>σf</t>
  </si>
  <si>
    <t>Total Stress</t>
  </si>
  <si>
    <t xml:space="preserve">σtotal </t>
  </si>
  <si>
    <t>Compressive Stress</t>
  </si>
  <si>
    <t xml:space="preserve">TRUNION LUG DESIGN </t>
  </si>
  <si>
    <t>Trunion Location from top tubesheet is 500 mm.</t>
  </si>
  <si>
    <t>SA 53 GR B</t>
  </si>
  <si>
    <t>pvtools.weebly.com</t>
  </si>
  <si>
    <t>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</si>
</sst>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vtools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workbookViewId="0">
      <selection activeCell="H18" sqref="H18"/>
    </sheetView>
  </sheetViews>
  <sheetFormatPr defaultRowHeight="15" x14ac:dyDescent="0.25"/>
  <cols>
    <col min="1" max="1" width="9.140625" customWidth="1"/>
    <col min="2" max="2" width="7.28515625" customWidth="1"/>
    <col min="3" max="3" width="25.28515625" bestFit="1" customWidth="1"/>
    <col min="4" max="4" width="18.28515625" customWidth="1"/>
    <col min="6" max="6" width="10.5703125" bestFit="1" customWidth="1"/>
  </cols>
  <sheetData>
    <row r="1" spans="2:9" x14ac:dyDescent="0.25">
      <c r="B1" s="12" t="s">
        <v>63</v>
      </c>
      <c r="C1" s="22" t="s">
        <v>62</v>
      </c>
    </row>
    <row r="3" spans="2:9" x14ac:dyDescent="0.25">
      <c r="C3" s="19" t="s">
        <v>59</v>
      </c>
      <c r="D3" s="20"/>
      <c r="E3" s="21"/>
    </row>
    <row r="4" spans="2:9" x14ac:dyDescent="0.25">
      <c r="B4" s="8" t="s">
        <v>4</v>
      </c>
      <c r="C4" s="8" t="s">
        <v>0</v>
      </c>
      <c r="D4" s="8" t="s">
        <v>1</v>
      </c>
      <c r="E4" s="8" t="s">
        <v>12</v>
      </c>
      <c r="F4" s="8" t="s">
        <v>5</v>
      </c>
    </row>
    <row r="5" spans="2:9" ht="18" x14ac:dyDescent="0.25">
      <c r="B5" s="8">
        <v>1</v>
      </c>
      <c r="C5" s="8" t="s">
        <v>22</v>
      </c>
      <c r="D5" s="8" t="s">
        <v>23</v>
      </c>
      <c r="E5" s="8" t="s">
        <v>6</v>
      </c>
      <c r="F5" s="14">
        <v>15000</v>
      </c>
    </row>
    <row r="6" spans="2:9" x14ac:dyDescent="0.25">
      <c r="B6" s="8">
        <v>2</v>
      </c>
      <c r="C6" s="8" t="s">
        <v>25</v>
      </c>
      <c r="D6" s="8"/>
      <c r="E6" s="8"/>
      <c r="F6" s="14">
        <v>1.5</v>
      </c>
    </row>
    <row r="7" spans="2:9" x14ac:dyDescent="0.25">
      <c r="B7" s="8">
        <v>3</v>
      </c>
      <c r="C7" s="8" t="s">
        <v>24</v>
      </c>
      <c r="D7" s="8" t="s">
        <v>35</v>
      </c>
      <c r="E7" s="8" t="s">
        <v>6</v>
      </c>
      <c r="F7" s="14">
        <f>(F5*F6)/2</f>
        <v>11250</v>
      </c>
    </row>
    <row r="8" spans="2:9" x14ac:dyDescent="0.25">
      <c r="B8" s="8">
        <v>4</v>
      </c>
      <c r="C8" s="8" t="s">
        <v>45</v>
      </c>
      <c r="D8" s="8" t="s">
        <v>11</v>
      </c>
      <c r="E8" s="8" t="s">
        <v>6</v>
      </c>
      <c r="F8" s="14">
        <v>0</v>
      </c>
    </row>
    <row r="9" spans="2:9" x14ac:dyDescent="0.25">
      <c r="B9" s="8">
        <v>5</v>
      </c>
      <c r="C9" s="8" t="s">
        <v>26</v>
      </c>
      <c r="D9" s="15" t="s">
        <v>61</v>
      </c>
      <c r="E9" s="16"/>
      <c r="F9" s="17"/>
    </row>
    <row r="10" spans="2:9" x14ac:dyDescent="0.25">
      <c r="B10" s="8">
        <v>6</v>
      </c>
      <c r="C10" s="8" t="s">
        <v>27</v>
      </c>
      <c r="D10" s="2" t="s">
        <v>28</v>
      </c>
      <c r="E10" s="8" t="s">
        <v>3</v>
      </c>
      <c r="F10" s="14">
        <v>210</v>
      </c>
      <c r="I10">
        <f>F12+(2*0.7*F13)</f>
        <v>178.25400000000002</v>
      </c>
    </row>
    <row r="11" spans="2:9" x14ac:dyDescent="0.25">
      <c r="B11" s="8">
        <v>7</v>
      </c>
      <c r="C11" s="8" t="s">
        <v>21</v>
      </c>
      <c r="D11" s="2" t="s">
        <v>29</v>
      </c>
      <c r="E11" s="8" t="s">
        <v>3</v>
      </c>
      <c r="F11" s="14">
        <f>0.9*F10</f>
        <v>189</v>
      </c>
    </row>
    <row r="12" spans="2:9" x14ac:dyDescent="0.25">
      <c r="B12" s="8">
        <v>8</v>
      </c>
      <c r="C12" s="8" t="s">
        <v>30</v>
      </c>
      <c r="D12" s="8" t="s">
        <v>31</v>
      </c>
      <c r="E12" s="8" t="s">
        <v>2</v>
      </c>
      <c r="F12" s="14">
        <v>168.3</v>
      </c>
    </row>
    <row r="13" spans="2:9" x14ac:dyDescent="0.25">
      <c r="B13" s="8">
        <v>9</v>
      </c>
      <c r="C13" s="8" t="s">
        <v>32</v>
      </c>
      <c r="D13" s="8" t="s">
        <v>10</v>
      </c>
      <c r="E13" s="8" t="s">
        <v>2</v>
      </c>
      <c r="F13" s="14">
        <v>7.11</v>
      </c>
    </row>
    <row r="14" spans="2:9" x14ac:dyDescent="0.25">
      <c r="B14" s="8">
        <v>10</v>
      </c>
      <c r="C14" s="5" t="s">
        <v>33</v>
      </c>
      <c r="D14" s="8" t="s">
        <v>34</v>
      </c>
      <c r="E14" s="8" t="s">
        <v>2</v>
      </c>
      <c r="F14" s="14">
        <f>F12-F13</f>
        <v>161.19</v>
      </c>
    </row>
    <row r="15" spans="2:9" x14ac:dyDescent="0.25">
      <c r="B15" s="8">
        <v>11</v>
      </c>
      <c r="C15" s="5" t="s">
        <v>38</v>
      </c>
      <c r="D15" s="8"/>
      <c r="E15" s="8" t="s">
        <v>2</v>
      </c>
      <c r="F15" s="14">
        <f>135+40+15</f>
        <v>190</v>
      </c>
    </row>
    <row r="16" spans="2:9" x14ac:dyDescent="0.25">
      <c r="B16" s="8">
        <v>12</v>
      </c>
      <c r="C16" s="3" t="s">
        <v>36</v>
      </c>
      <c r="D16" s="3" t="s">
        <v>37</v>
      </c>
      <c r="E16" s="3" t="s">
        <v>8</v>
      </c>
      <c r="F16" s="18">
        <f>F7*F15</f>
        <v>2137500</v>
      </c>
    </row>
    <row r="17" spans="2:10" x14ac:dyDescent="0.25">
      <c r="B17" s="8">
        <v>13</v>
      </c>
      <c r="C17" s="3" t="s">
        <v>44</v>
      </c>
      <c r="D17" s="2" t="s">
        <v>39</v>
      </c>
      <c r="E17" s="8" t="s">
        <v>3</v>
      </c>
      <c r="F17" s="18">
        <v>120.21</v>
      </c>
    </row>
    <row r="18" spans="2:10" x14ac:dyDescent="0.25">
      <c r="B18" s="8">
        <v>14</v>
      </c>
      <c r="C18" s="3"/>
      <c r="D18" s="3" t="s">
        <v>40</v>
      </c>
      <c r="E18" s="8" t="s">
        <v>6</v>
      </c>
      <c r="F18" s="3">
        <f>PI()*F14*F13*F17</f>
        <v>432810.87634662213</v>
      </c>
    </row>
    <row r="19" spans="2:10" x14ac:dyDescent="0.25">
      <c r="B19" s="8">
        <v>15</v>
      </c>
      <c r="C19" s="3"/>
      <c r="D19" s="3" t="s">
        <v>41</v>
      </c>
      <c r="E19" s="3" t="s">
        <v>8</v>
      </c>
      <c r="F19" s="3">
        <f>(PI()/4)*(F12*F12)*F13*F17</f>
        <v>19013773.285131946</v>
      </c>
    </row>
    <row r="20" spans="2:10" x14ac:dyDescent="0.25">
      <c r="B20" s="8">
        <v>16</v>
      </c>
      <c r="C20" s="3" t="s">
        <v>42</v>
      </c>
      <c r="D20" s="3"/>
      <c r="E20" s="8" t="s">
        <v>3</v>
      </c>
      <c r="F20" s="3">
        <f>((4*((F16^2))^0.5)/(PI()*F14^2*F13))</f>
        <v>14.732296496974804</v>
      </c>
      <c r="J20" s="4"/>
    </row>
    <row r="21" spans="2:10" x14ac:dyDescent="0.25">
      <c r="B21" s="8">
        <v>17</v>
      </c>
      <c r="C21" s="3" t="s">
        <v>43</v>
      </c>
      <c r="D21" s="3"/>
      <c r="E21" s="3"/>
      <c r="F21" s="3">
        <f>(((F16^2)^0.5)/F19)+(0/F18)</f>
        <v>0.11241850672909014</v>
      </c>
    </row>
    <row r="22" spans="2:10" x14ac:dyDescent="0.25">
      <c r="B22" s="8">
        <v>18</v>
      </c>
      <c r="C22" s="3" t="s">
        <v>46</v>
      </c>
      <c r="D22" s="3"/>
      <c r="E22" s="3"/>
      <c r="F22" s="3"/>
    </row>
    <row r="23" spans="2:10" x14ac:dyDescent="0.25">
      <c r="B23" s="8">
        <v>19</v>
      </c>
      <c r="C23" s="9" t="s">
        <v>47</v>
      </c>
      <c r="D23" s="8" t="s">
        <v>13</v>
      </c>
      <c r="E23" s="9" t="s">
        <v>7</v>
      </c>
      <c r="F23" s="6">
        <f>(PI()/4)*((F12+(0.7*F13))^2-F12^2)</f>
        <v>1335.1994414794995</v>
      </c>
    </row>
    <row r="24" spans="2:10" x14ac:dyDescent="0.25">
      <c r="B24" s="8">
        <v>20</v>
      </c>
      <c r="C24" s="10" t="s">
        <v>49</v>
      </c>
      <c r="D24" s="8" t="s">
        <v>48</v>
      </c>
      <c r="E24" s="9" t="s">
        <v>2</v>
      </c>
      <c r="F24" s="6">
        <f>F12*0.5</f>
        <v>84.15</v>
      </c>
    </row>
    <row r="25" spans="2:10" x14ac:dyDescent="0.25">
      <c r="B25" s="8">
        <v>21</v>
      </c>
      <c r="C25" s="10" t="s">
        <v>50</v>
      </c>
      <c r="D25" s="8" t="s">
        <v>51</v>
      </c>
      <c r="E25" s="9" t="s">
        <v>9</v>
      </c>
      <c r="F25" s="6">
        <f>(I10^4-F12^4)/64</f>
        <v>3239355.1084580664</v>
      </c>
    </row>
    <row r="26" spans="2:10" x14ac:dyDescent="0.25">
      <c r="B26" s="8">
        <v>22</v>
      </c>
      <c r="C26" s="10" t="s">
        <v>52</v>
      </c>
      <c r="D26" s="8" t="s">
        <v>53</v>
      </c>
      <c r="E26" s="8" t="s">
        <v>3</v>
      </c>
      <c r="F26" s="11">
        <f>F7/F23</f>
        <v>8.4257075388933433</v>
      </c>
    </row>
    <row r="27" spans="2:10" x14ac:dyDescent="0.25">
      <c r="B27" s="8">
        <v>23</v>
      </c>
      <c r="C27" s="10" t="s">
        <v>54</v>
      </c>
      <c r="D27" s="8" t="s">
        <v>55</v>
      </c>
      <c r="E27" s="8" t="s">
        <v>3</v>
      </c>
      <c r="F27" s="11">
        <f>(F24*((F16^2)^0.5))/F25</f>
        <v>55.526677063083227</v>
      </c>
    </row>
    <row r="28" spans="2:10" x14ac:dyDescent="0.25">
      <c r="B28" s="8">
        <v>24</v>
      </c>
      <c r="C28" s="10" t="s">
        <v>58</v>
      </c>
      <c r="D28" s="8" t="s">
        <v>39</v>
      </c>
      <c r="E28" s="8" t="s">
        <v>3</v>
      </c>
      <c r="F28" s="11">
        <f>F8/F23</f>
        <v>0</v>
      </c>
    </row>
    <row r="29" spans="2:10" x14ac:dyDescent="0.25">
      <c r="B29" s="8">
        <v>25</v>
      </c>
      <c r="C29" s="10" t="s">
        <v>56</v>
      </c>
      <c r="D29" s="8" t="s">
        <v>57</v>
      </c>
      <c r="E29" s="8" t="s">
        <v>3</v>
      </c>
      <c r="F29" s="8">
        <f>((F27+F28)^2+(1.8*F26^2))^0.5</f>
        <v>56.665672600117155</v>
      </c>
    </row>
    <row r="30" spans="2:10" x14ac:dyDescent="0.25">
      <c r="B30" s="5">
        <v>26</v>
      </c>
      <c r="C30" s="13" t="str">
        <f>IF(F29&lt;F11,"Selected Trunion Pipe Lug is safe","Selected Trunion Pipe Lug is not safe")</f>
        <v>Selected Trunion Pipe Lug is safe</v>
      </c>
      <c r="D30" s="13"/>
      <c r="E30" s="13"/>
      <c r="F30" s="13"/>
    </row>
    <row r="31" spans="2:10" x14ac:dyDescent="0.25">
      <c r="B31" s="5">
        <v>27</v>
      </c>
      <c r="C31" s="13" t="s">
        <v>60</v>
      </c>
      <c r="D31" s="13"/>
      <c r="E31" s="13"/>
      <c r="F31" s="13"/>
    </row>
  </sheetData>
  <sheetProtection password="CD2A" sheet="1" objects="1" scenarios="1"/>
  <mergeCells count="4">
    <mergeCell ref="C3:E3"/>
    <mergeCell ref="D9:F9"/>
    <mergeCell ref="C30:F30"/>
    <mergeCell ref="C31:F31"/>
  </mergeCells>
  <hyperlinks>
    <hyperlink ref="C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workbookViewId="0">
      <selection activeCell="D19" sqref="D19"/>
    </sheetView>
  </sheetViews>
  <sheetFormatPr defaultRowHeight="15" x14ac:dyDescent="0.25"/>
  <cols>
    <col min="2" max="2" width="9.140625" style="1"/>
    <col min="3" max="3" width="11.42578125" bestFit="1" customWidth="1"/>
    <col min="4" max="4" width="14.5703125" bestFit="1" customWidth="1"/>
    <col min="5" max="5" width="11.7109375" bestFit="1" customWidth="1"/>
  </cols>
  <sheetData>
    <row r="3" spans="2:10" x14ac:dyDescent="0.25">
      <c r="C3" t="s">
        <v>14</v>
      </c>
      <c r="D3">
        <v>506</v>
      </c>
      <c r="E3" t="s">
        <v>15</v>
      </c>
    </row>
    <row r="5" spans="2:10" x14ac:dyDescent="0.25">
      <c r="B5" s="1">
        <v>1</v>
      </c>
      <c r="C5" s="7">
        <f>0.785*(1.288^2-1.212^2)*7.85*9.5</f>
        <v>11.12286125000001</v>
      </c>
      <c r="D5" t="s">
        <v>16</v>
      </c>
    </row>
    <row r="6" spans="2:10" x14ac:dyDescent="0.25">
      <c r="B6" s="1">
        <v>2</v>
      </c>
      <c r="C6" s="7">
        <f>0.785*(1.284^2-1.208^2)*7.85*9.5</f>
        <v>11.087268094000013</v>
      </c>
      <c r="D6" t="s">
        <v>17</v>
      </c>
    </row>
    <row r="7" spans="2:10" x14ac:dyDescent="0.25">
      <c r="B7" s="1">
        <v>3</v>
      </c>
      <c r="E7" t="s">
        <v>18</v>
      </c>
      <c r="F7" s="1">
        <v>470</v>
      </c>
      <c r="G7">
        <v>1</v>
      </c>
      <c r="I7" t="s">
        <v>19</v>
      </c>
      <c r="J7" t="s">
        <v>20</v>
      </c>
    </row>
    <row r="8" spans="2:10" x14ac:dyDescent="0.25">
      <c r="F8" s="1">
        <v>566</v>
      </c>
    </row>
    <row r="9" spans="2:10" x14ac:dyDescent="0.25">
      <c r="F9" s="1">
        <v>645</v>
      </c>
      <c r="G9">
        <v>2</v>
      </c>
    </row>
    <row r="10" spans="2:10" x14ac:dyDescent="0.25">
      <c r="F10" s="1">
        <v>713</v>
      </c>
    </row>
    <row r="11" spans="2:10" x14ac:dyDescent="0.25">
      <c r="F11" s="1">
        <v>768</v>
      </c>
      <c r="G11">
        <v>3</v>
      </c>
    </row>
    <row r="12" spans="2:10" x14ac:dyDescent="0.25">
      <c r="F12" s="1">
        <v>825</v>
      </c>
    </row>
    <row r="13" spans="2:10" x14ac:dyDescent="0.25">
      <c r="F13" s="1">
        <v>870</v>
      </c>
      <c r="G13">
        <v>4</v>
      </c>
    </row>
    <row r="14" spans="2:10" x14ac:dyDescent="0.25">
      <c r="F14" s="1">
        <v>915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TRUNION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2018-11-01T09:36:47Z</dcterms:modified>
</cp:coreProperties>
</file>