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25" tabRatio="656" activeTab="2"/>
  </bookViews>
  <sheets>
    <sheet name="DOUBLE V" sheetId="1" r:id="rId1"/>
    <sheet name="SINGLE V" sheetId="2" r:id="rId2"/>
    <sheet name="COMPOUND V" sheetId="3" r:id="rId3"/>
    <sheet name="BACKING STRIP" sheetId="4" r:id="rId4"/>
    <sheet name="J GROOVE" sheetId="5" r:id="rId5"/>
  </sheets>
  <definedNames/>
  <calcPr fullCalcOnLoad="1"/>
</workbook>
</file>

<file path=xl/sharedStrings.xml><?xml version="1.0" encoding="utf-8"?>
<sst xmlns="http://schemas.openxmlformats.org/spreadsheetml/2006/main" count="264" uniqueCount="60">
  <si>
    <t xml:space="preserve">DOUBLE 'V' </t>
  </si>
  <si>
    <t>q=</t>
  </si>
  <si>
    <t>THK=</t>
  </si>
  <si>
    <t>R.F.=</t>
  </si>
  <si>
    <t>Æ=</t>
  </si>
  <si>
    <t>R.G.=</t>
  </si>
  <si>
    <t>ALL DIMENSIONS ARE IN MM</t>
  </si>
  <si>
    <t>CROSS SEC. AREA</t>
  </si>
  <si>
    <t>TOTAL WELD KG</t>
  </si>
  <si>
    <t>O/S WELDING=</t>
  </si>
  <si>
    <t>C/B WELDING=</t>
  </si>
  <si>
    <t>TOTAL WELDING=</t>
  </si>
  <si>
    <t xml:space="preserve">SINGLE 'V' </t>
  </si>
  <si>
    <t xml:space="preserve">COMPOUND 'V' </t>
  </si>
  <si>
    <t>BACKING STRIP</t>
  </si>
  <si>
    <t>J GROOVE</t>
  </si>
  <si>
    <t>R=</t>
  </si>
  <si>
    <t>PROCESS</t>
  </si>
  <si>
    <t>HRS/KG</t>
  </si>
  <si>
    <t>(L/S)</t>
  </si>
  <si>
    <t>POSITION OF WELDING</t>
  </si>
  <si>
    <t>MULTIPLICATION FACTOR</t>
  </si>
  <si>
    <t>PREHEATING REQUIRED? (Y/N)</t>
  </si>
  <si>
    <t>Y</t>
  </si>
  <si>
    <t>HEATING</t>
  </si>
  <si>
    <t>RUN TIME</t>
  </si>
  <si>
    <t>MATERIAL (SS/STEEL)=</t>
  </si>
  <si>
    <t>STEEL</t>
  </si>
  <si>
    <t>DENSITY=</t>
  </si>
  <si>
    <t>YES</t>
  </si>
  <si>
    <t>NO</t>
  </si>
  <si>
    <t>3).  FCAW</t>
  </si>
  <si>
    <t>4).  GTAW</t>
  </si>
  <si>
    <t>1). SMAW</t>
  </si>
  <si>
    <t>2).  SAW (C/S)</t>
  </si>
  <si>
    <t>1).  1G</t>
  </si>
  <si>
    <t>2).  2G</t>
  </si>
  <si>
    <t>3).  3G</t>
  </si>
  <si>
    <t>POSITION</t>
  </si>
  <si>
    <t>(Y/N)</t>
  </si>
  <si>
    <t>OUTSIDE ROOT RUN</t>
  </si>
  <si>
    <t>OUT SIDE BALANCE</t>
  </si>
  <si>
    <t>CHIP BACK WELDING</t>
  </si>
  <si>
    <t>PARAMETERS SETTING</t>
  </si>
  <si>
    <t>CHIP BACK DEPTH(MM)</t>
  </si>
  <si>
    <t>CODE</t>
  </si>
  <si>
    <r>
      <t xml:space="preserve">RUN TIME TIME REQUIRED FOR L/SEAM OR C/SEAM  </t>
    </r>
    <r>
      <rPr>
        <b/>
        <sz val="12"/>
        <color indexed="12"/>
        <rFont val="Arial"/>
        <family val="2"/>
      </rPr>
      <t>(LS/CS)=</t>
    </r>
  </si>
  <si>
    <t>CS</t>
  </si>
  <si>
    <r>
      <t xml:space="preserve">MATERIAL </t>
    </r>
    <r>
      <rPr>
        <b/>
        <sz val="10"/>
        <color indexed="12"/>
        <rFont val="Arial"/>
        <family val="2"/>
      </rPr>
      <t>(SS/STEEL)</t>
    </r>
    <r>
      <rPr>
        <sz val="10"/>
        <color indexed="12"/>
        <rFont val="Arial"/>
        <family val="2"/>
      </rPr>
      <t>=</t>
    </r>
  </si>
  <si>
    <t xml:space="preserve"> </t>
  </si>
  <si>
    <t>THK &lt;=</t>
  </si>
  <si>
    <t>THK &gt;</t>
  </si>
  <si>
    <t xml:space="preserve">THK &lt;= </t>
  </si>
  <si>
    <t xml:space="preserve">THK &gt; </t>
  </si>
  <si>
    <t>ls</t>
  </si>
  <si>
    <t>N</t>
  </si>
  <si>
    <t>(min)</t>
  </si>
  <si>
    <t>(Hrs)</t>
  </si>
  <si>
    <t>VISIT</t>
  </si>
  <si>
    <t>http://www.pvtools.weebly.com/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</si>
</sst>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&quot;$&quot;#,##0.00"/>
    <numFmt numFmtId="177" formatCode="0.0000"/>
    <numFmt numFmtId="178" formatCode="0.000"/>
    <numFmt numFmtId="179" formatCode="0.0"/>
    <numFmt numFmtId="180" formatCode="0.00000"/>
    <numFmt numFmtId="181" formatCode="0.0000000"/>
    <numFmt numFmtId="182" formatCode="0.000000"/>
  </numFmts>
  <fonts count="59">
    <font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Symbol"/>
      <family val="1"/>
    </font>
    <font>
      <b/>
      <u val="single"/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7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79" fontId="19" fillId="0" borderId="2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9" fontId="0" fillId="0" borderId="15" xfId="58" applyFont="1" applyBorder="1" applyAlignment="1">
      <alignment horizontal="center"/>
    </xf>
    <xf numFmtId="9" fontId="0" fillId="0" borderId="17" xfId="58" applyFont="1" applyBorder="1" applyAlignment="1">
      <alignment horizontal="center"/>
    </xf>
    <xf numFmtId="9" fontId="0" fillId="0" borderId="20" xfId="58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9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179" fontId="19" fillId="0" borderId="0" xfId="0" applyNumberFormat="1" applyFont="1" applyBorder="1" applyAlignment="1">
      <alignment horizontal="center"/>
    </xf>
    <xf numFmtId="44" fontId="0" fillId="0" borderId="0" xfId="44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9" fontId="0" fillId="0" borderId="23" xfId="58" applyFont="1" applyBorder="1" applyAlignment="1">
      <alignment horizontal="center"/>
    </xf>
    <xf numFmtId="9" fontId="0" fillId="0" borderId="24" xfId="58" applyFont="1" applyBorder="1" applyAlignment="1">
      <alignment horizontal="center"/>
    </xf>
    <xf numFmtId="9" fontId="0" fillId="0" borderId="22" xfId="58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58" fillId="0" borderId="26" xfId="52" applyFont="1" applyFill="1" applyBorder="1" applyAlignment="1" applyProtection="1">
      <alignment horizontal="center"/>
      <protection/>
    </xf>
    <xf numFmtId="0" fontId="58" fillId="0" borderId="27" xfId="52" applyFont="1" applyFill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center"/>
    </xf>
    <xf numFmtId="179" fontId="9" fillId="0" borderId="11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8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179" fontId="7" fillId="0" borderId="1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21" xfId="0" applyFont="1" applyBorder="1" applyAlignment="1">
      <alignment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ont="1" applyAlignment="1" applyProtection="1">
      <alignment horizontal="center" vertical="center"/>
      <protection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609600" y="552450"/>
          <a:ext cx="609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219200" y="12096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7</xdr:row>
      <xdr:rowOff>114300</xdr:rowOff>
    </xdr:from>
    <xdr:to>
      <xdr:col>2</xdr:col>
      <xdr:colOff>9525</xdr:colOff>
      <xdr:row>10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552450" y="1323975"/>
          <a:ext cx="676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</xdr:row>
      <xdr:rowOff>152400</xdr:rowOff>
    </xdr:from>
    <xdr:to>
      <xdr:col>4</xdr:col>
      <xdr:colOff>28575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95400" y="552450"/>
          <a:ext cx="619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1304925" y="1209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57150</xdr:colOff>
      <xdr:row>10</xdr:row>
      <xdr:rowOff>28575</xdr:rowOff>
    </xdr:to>
    <xdr:sp>
      <xdr:nvSpPr>
        <xdr:cNvPr id="6" name="Line 7"/>
        <xdr:cNvSpPr>
          <a:spLocks/>
        </xdr:cNvSpPr>
      </xdr:nvSpPr>
      <xdr:spPr>
        <a:xfrm>
          <a:off x="1314450" y="132397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295275</xdr:colOff>
      <xdr:row>3</xdr:row>
      <xdr:rowOff>0</xdr:rowOff>
    </xdr:to>
    <xdr:sp>
      <xdr:nvSpPr>
        <xdr:cNvPr id="7" name="Line 10"/>
        <xdr:cNvSpPr>
          <a:spLocks/>
        </xdr:cNvSpPr>
      </xdr:nvSpPr>
      <xdr:spPr>
        <a:xfrm>
          <a:off x="1895475" y="561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19050</xdr:rowOff>
    </xdr:from>
    <xdr:to>
      <xdr:col>5</xdr:col>
      <xdr:colOff>323850</xdr:colOff>
      <xdr:row>10</xdr:row>
      <xdr:rowOff>19050</xdr:rowOff>
    </xdr:to>
    <xdr:sp>
      <xdr:nvSpPr>
        <xdr:cNvPr id="8" name="Line 16"/>
        <xdr:cNvSpPr>
          <a:spLocks/>
        </xdr:cNvSpPr>
      </xdr:nvSpPr>
      <xdr:spPr>
        <a:xfrm>
          <a:off x="1914525" y="17145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10</xdr:row>
      <xdr:rowOff>28575</xdr:rowOff>
    </xdr:to>
    <xdr:sp>
      <xdr:nvSpPr>
        <xdr:cNvPr id="9" name="Line 17"/>
        <xdr:cNvSpPr>
          <a:spLocks/>
        </xdr:cNvSpPr>
      </xdr:nvSpPr>
      <xdr:spPr>
        <a:xfrm>
          <a:off x="2505075" y="5619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152400</xdr:rowOff>
    </xdr:from>
    <xdr:to>
      <xdr:col>4</xdr:col>
      <xdr:colOff>323850</xdr:colOff>
      <xdr:row>6</xdr:row>
      <xdr:rowOff>152400</xdr:rowOff>
    </xdr:to>
    <xdr:sp>
      <xdr:nvSpPr>
        <xdr:cNvPr id="10" name="Line 18"/>
        <xdr:cNvSpPr>
          <a:spLocks/>
        </xdr:cNvSpPr>
      </xdr:nvSpPr>
      <xdr:spPr>
        <a:xfrm>
          <a:off x="1323975" y="12001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4</xdr:col>
      <xdr:colOff>361950</xdr:colOff>
      <xdr:row>7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1304925" y="1323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</xdr:row>
      <xdr:rowOff>0</xdr:rowOff>
    </xdr:from>
    <xdr:to>
      <xdr:col>4</xdr:col>
      <xdr:colOff>161925</xdr:colOff>
      <xdr:row>6</xdr:row>
      <xdr:rowOff>152400</xdr:rowOff>
    </xdr:to>
    <xdr:sp>
      <xdr:nvSpPr>
        <xdr:cNvPr id="12" name="Line 20"/>
        <xdr:cNvSpPr>
          <a:spLocks/>
        </xdr:cNvSpPr>
      </xdr:nvSpPr>
      <xdr:spPr>
        <a:xfrm>
          <a:off x="2047875" y="56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152400</xdr:rowOff>
    </xdr:from>
    <xdr:to>
      <xdr:col>4</xdr:col>
      <xdr:colOff>161925</xdr:colOff>
      <xdr:row>7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2047875" y="1200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2</xdr:col>
      <xdr:colOff>0</xdr:colOff>
      <xdr:row>12</xdr:row>
      <xdr:rowOff>133350</xdr:rowOff>
    </xdr:to>
    <xdr:sp>
      <xdr:nvSpPr>
        <xdr:cNvPr id="14" name="Line 23"/>
        <xdr:cNvSpPr>
          <a:spLocks/>
        </xdr:cNvSpPr>
      </xdr:nvSpPr>
      <xdr:spPr>
        <a:xfrm flipH="1">
          <a:off x="1219200" y="1333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12</xdr:row>
      <xdr:rowOff>142875</xdr:rowOff>
    </xdr:to>
    <xdr:sp>
      <xdr:nvSpPr>
        <xdr:cNvPr id="15" name="Line 24"/>
        <xdr:cNvSpPr>
          <a:spLocks/>
        </xdr:cNvSpPr>
      </xdr:nvSpPr>
      <xdr:spPr>
        <a:xfrm flipH="1">
          <a:off x="1304925" y="13239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6" name="Line 25"/>
        <xdr:cNvSpPr>
          <a:spLocks/>
        </xdr:cNvSpPr>
      </xdr:nvSpPr>
      <xdr:spPr>
        <a:xfrm flipV="1">
          <a:off x="1019175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142875</xdr:colOff>
      <xdr:row>12</xdr:row>
      <xdr:rowOff>0</xdr:rowOff>
    </xdr:to>
    <xdr:sp>
      <xdr:nvSpPr>
        <xdr:cNvPr id="17" name="Line 26"/>
        <xdr:cNvSpPr>
          <a:spLocks/>
        </xdr:cNvSpPr>
      </xdr:nvSpPr>
      <xdr:spPr>
        <a:xfrm flipH="1">
          <a:off x="1304925" y="201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114300</xdr:rowOff>
    </xdr:from>
    <xdr:to>
      <xdr:col>4</xdr:col>
      <xdr:colOff>161925</xdr:colOff>
      <xdr:row>10</xdr:row>
      <xdr:rowOff>19050</xdr:rowOff>
    </xdr:to>
    <xdr:sp>
      <xdr:nvSpPr>
        <xdr:cNvPr id="18" name="Line 27"/>
        <xdr:cNvSpPr>
          <a:spLocks/>
        </xdr:cNvSpPr>
      </xdr:nvSpPr>
      <xdr:spPr>
        <a:xfrm>
          <a:off x="2047875" y="13239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571500</xdr:colOff>
      <xdr:row>10</xdr:row>
      <xdr:rowOff>28575</xdr:rowOff>
    </xdr:to>
    <xdr:sp>
      <xdr:nvSpPr>
        <xdr:cNvPr id="19" name="Line 29"/>
        <xdr:cNvSpPr>
          <a:spLocks/>
        </xdr:cNvSpPr>
      </xdr:nvSpPr>
      <xdr:spPr>
        <a:xfrm flipH="1" flipV="1">
          <a:off x="47625" y="1724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0</xdr:col>
      <xdr:colOff>600075</xdr:colOff>
      <xdr:row>2</xdr:row>
      <xdr:rowOff>152400</xdr:rowOff>
    </xdr:to>
    <xdr:sp>
      <xdr:nvSpPr>
        <xdr:cNvPr id="20" name="Line 30"/>
        <xdr:cNvSpPr>
          <a:spLocks/>
        </xdr:cNvSpPr>
      </xdr:nvSpPr>
      <xdr:spPr>
        <a:xfrm flipH="1">
          <a:off x="57150" y="552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</xdr:row>
      <xdr:rowOff>38100</xdr:rowOff>
    </xdr:from>
    <xdr:to>
      <xdr:col>3</xdr:col>
      <xdr:colOff>85725</xdr:colOff>
      <xdr:row>6</xdr:row>
      <xdr:rowOff>142875</xdr:rowOff>
    </xdr:to>
    <xdr:sp>
      <xdr:nvSpPr>
        <xdr:cNvPr id="21" name="Arc 31"/>
        <xdr:cNvSpPr>
          <a:spLocks/>
        </xdr:cNvSpPr>
      </xdr:nvSpPr>
      <xdr:spPr>
        <a:xfrm rot="19234566">
          <a:off x="1114425" y="923925"/>
          <a:ext cx="276225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7</xdr:row>
      <xdr:rowOff>76200</xdr:rowOff>
    </xdr:from>
    <xdr:to>
      <xdr:col>3</xdr:col>
      <xdr:colOff>104775</xdr:colOff>
      <xdr:row>9</xdr:row>
      <xdr:rowOff>19050</xdr:rowOff>
    </xdr:to>
    <xdr:sp>
      <xdr:nvSpPr>
        <xdr:cNvPr id="22" name="Arc 32"/>
        <xdr:cNvSpPr>
          <a:spLocks/>
        </xdr:cNvSpPr>
      </xdr:nvSpPr>
      <xdr:spPr>
        <a:xfrm rot="8271744">
          <a:off x="1133475" y="1285875"/>
          <a:ext cx="276225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57150</xdr:rowOff>
    </xdr:from>
    <xdr:to>
      <xdr:col>4</xdr:col>
      <xdr:colOff>152400</xdr:colOff>
      <xdr:row>6</xdr:row>
      <xdr:rowOff>85725</xdr:rowOff>
    </xdr:to>
    <xdr:sp>
      <xdr:nvSpPr>
        <xdr:cNvPr id="23" name="Arc 34"/>
        <xdr:cNvSpPr>
          <a:spLocks/>
        </xdr:cNvSpPr>
      </xdr:nvSpPr>
      <xdr:spPr>
        <a:xfrm rot="18095819">
          <a:off x="619125" y="257175"/>
          <a:ext cx="1419225" cy="876300"/>
        </a:xfrm>
        <a:custGeom>
          <a:pathLst>
            <a:path fill="none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</a:path>
            <a:path stroke="0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  <a:lnTo>
                <a:pt x="0" y="2110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6</xdr:row>
      <xdr:rowOff>104775</xdr:rowOff>
    </xdr:from>
    <xdr:to>
      <xdr:col>4</xdr:col>
      <xdr:colOff>0</xdr:colOff>
      <xdr:row>12</xdr:row>
      <xdr:rowOff>0</xdr:rowOff>
    </xdr:to>
    <xdr:sp>
      <xdr:nvSpPr>
        <xdr:cNvPr id="24" name="Arc 35"/>
        <xdr:cNvSpPr>
          <a:spLocks/>
        </xdr:cNvSpPr>
      </xdr:nvSpPr>
      <xdr:spPr>
        <a:xfrm rot="7309335">
          <a:off x="466725" y="1152525"/>
          <a:ext cx="1419225" cy="866775"/>
        </a:xfrm>
        <a:custGeom>
          <a:pathLst>
            <a:path fill="none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</a:path>
            <a:path stroke="0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  <a:lnTo>
                <a:pt x="0" y="2110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609600" y="552450"/>
          <a:ext cx="609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19200" y="1209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</xdr:row>
      <xdr:rowOff>152400</xdr:rowOff>
    </xdr:from>
    <xdr:to>
      <xdr:col>4</xdr:col>
      <xdr:colOff>28575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295400" y="552450"/>
          <a:ext cx="619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1304925" y="1209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295275</xdr:colOff>
      <xdr:row>3</xdr:row>
      <xdr:rowOff>0</xdr:rowOff>
    </xdr:to>
    <xdr:sp>
      <xdr:nvSpPr>
        <xdr:cNvPr id="5" name="Line 9"/>
        <xdr:cNvSpPr>
          <a:spLocks/>
        </xdr:cNvSpPr>
      </xdr:nvSpPr>
      <xdr:spPr>
        <a:xfrm>
          <a:off x="1895475" y="561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152400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2495550" y="5524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1371600" y="12096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5</xdr:col>
      <xdr:colOff>200025</xdr:colOff>
      <xdr:row>8</xdr:row>
      <xdr:rowOff>0</xdr:rowOff>
    </xdr:to>
    <xdr:sp>
      <xdr:nvSpPr>
        <xdr:cNvPr id="8" name="Line 13"/>
        <xdr:cNvSpPr>
          <a:spLocks/>
        </xdr:cNvSpPr>
      </xdr:nvSpPr>
      <xdr:spPr>
        <a:xfrm>
          <a:off x="1314450" y="13716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</xdr:row>
      <xdr:rowOff>0</xdr:rowOff>
    </xdr:from>
    <xdr:to>
      <xdr:col>4</xdr:col>
      <xdr:colOff>161925</xdr:colOff>
      <xdr:row>6</xdr:row>
      <xdr:rowOff>152400</xdr:rowOff>
    </xdr:to>
    <xdr:sp>
      <xdr:nvSpPr>
        <xdr:cNvPr id="9" name="Line 14"/>
        <xdr:cNvSpPr>
          <a:spLocks/>
        </xdr:cNvSpPr>
      </xdr:nvSpPr>
      <xdr:spPr>
        <a:xfrm>
          <a:off x="2047875" y="56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152400</xdr:rowOff>
    </xdr:from>
    <xdr:to>
      <xdr:col>4</xdr:col>
      <xdr:colOff>161925</xdr:colOff>
      <xdr:row>8</xdr:row>
      <xdr:rowOff>19050</xdr:rowOff>
    </xdr:to>
    <xdr:sp>
      <xdr:nvSpPr>
        <xdr:cNvPr id="10" name="Line 15"/>
        <xdr:cNvSpPr>
          <a:spLocks/>
        </xdr:cNvSpPr>
      </xdr:nvSpPr>
      <xdr:spPr>
        <a:xfrm>
          <a:off x="2047875" y="1200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10</xdr:row>
      <xdr:rowOff>57150</xdr:rowOff>
    </xdr:to>
    <xdr:sp>
      <xdr:nvSpPr>
        <xdr:cNvPr id="11" name="Line 16"/>
        <xdr:cNvSpPr>
          <a:spLocks/>
        </xdr:cNvSpPr>
      </xdr:nvSpPr>
      <xdr:spPr>
        <a:xfrm flipH="1">
          <a:off x="1219200" y="1390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10</xdr:row>
      <xdr:rowOff>76200</xdr:rowOff>
    </xdr:to>
    <xdr:sp>
      <xdr:nvSpPr>
        <xdr:cNvPr id="12" name="Line 17"/>
        <xdr:cNvSpPr>
          <a:spLocks/>
        </xdr:cNvSpPr>
      </xdr:nvSpPr>
      <xdr:spPr>
        <a:xfrm flipH="1">
          <a:off x="1304925" y="14001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0</xdr:col>
      <xdr:colOff>600075</xdr:colOff>
      <xdr:row>2</xdr:row>
      <xdr:rowOff>152400</xdr:rowOff>
    </xdr:to>
    <xdr:sp>
      <xdr:nvSpPr>
        <xdr:cNvPr id="13" name="Line 22"/>
        <xdr:cNvSpPr>
          <a:spLocks/>
        </xdr:cNvSpPr>
      </xdr:nvSpPr>
      <xdr:spPr>
        <a:xfrm flipH="1">
          <a:off x="57150" y="552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9</xdr:row>
      <xdr:rowOff>0</xdr:rowOff>
    </xdr:from>
    <xdr:to>
      <xdr:col>2</xdr:col>
      <xdr:colOff>9525</xdr:colOff>
      <xdr:row>9</xdr:row>
      <xdr:rowOff>0</xdr:rowOff>
    </xdr:to>
    <xdr:sp>
      <xdr:nvSpPr>
        <xdr:cNvPr id="14" name="Line 24"/>
        <xdr:cNvSpPr>
          <a:spLocks/>
        </xdr:cNvSpPr>
      </xdr:nvSpPr>
      <xdr:spPr>
        <a:xfrm flipV="1">
          <a:off x="1028700" y="1533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3</xdr:col>
      <xdr:colOff>152400</xdr:colOff>
      <xdr:row>9</xdr:row>
      <xdr:rowOff>0</xdr:rowOff>
    </xdr:to>
    <xdr:sp>
      <xdr:nvSpPr>
        <xdr:cNvPr id="15" name="Line 25"/>
        <xdr:cNvSpPr>
          <a:spLocks/>
        </xdr:cNvSpPr>
      </xdr:nvSpPr>
      <xdr:spPr>
        <a:xfrm flipH="1">
          <a:off x="1314450" y="1533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6" name="Line 26"/>
        <xdr:cNvSpPr>
          <a:spLocks/>
        </xdr:cNvSpPr>
      </xdr:nvSpPr>
      <xdr:spPr>
        <a:xfrm flipH="1">
          <a:off x="104775" y="13716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</xdr:row>
      <xdr:rowOff>85725</xdr:rowOff>
    </xdr:from>
    <xdr:to>
      <xdr:col>3</xdr:col>
      <xdr:colOff>85725</xdr:colOff>
      <xdr:row>6</xdr:row>
      <xdr:rowOff>133350</xdr:rowOff>
    </xdr:to>
    <xdr:sp>
      <xdr:nvSpPr>
        <xdr:cNvPr id="17" name="Arc 27"/>
        <xdr:cNvSpPr>
          <a:spLocks/>
        </xdr:cNvSpPr>
      </xdr:nvSpPr>
      <xdr:spPr>
        <a:xfrm rot="19394992">
          <a:off x="1123950" y="971550"/>
          <a:ext cx="266700" cy="209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47625</xdr:rowOff>
    </xdr:from>
    <xdr:to>
      <xdr:col>4</xdr:col>
      <xdr:colOff>152400</xdr:colOff>
      <xdr:row>6</xdr:row>
      <xdr:rowOff>76200</xdr:rowOff>
    </xdr:to>
    <xdr:sp>
      <xdr:nvSpPr>
        <xdr:cNvPr id="18" name="Arc 28"/>
        <xdr:cNvSpPr>
          <a:spLocks/>
        </xdr:cNvSpPr>
      </xdr:nvSpPr>
      <xdr:spPr>
        <a:xfrm rot="18095819">
          <a:off x="619125" y="247650"/>
          <a:ext cx="1419225" cy="876300"/>
        </a:xfrm>
        <a:custGeom>
          <a:pathLst>
            <a:path fill="none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</a:path>
            <a:path stroke="0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  <a:lnTo>
                <a:pt x="0" y="2110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0</xdr:rowOff>
    </xdr:from>
    <xdr:to>
      <xdr:col>3</xdr:col>
      <xdr:colOff>133350</xdr:colOff>
      <xdr:row>9</xdr:row>
      <xdr:rowOff>19050</xdr:rowOff>
    </xdr:to>
    <xdr:sp>
      <xdr:nvSpPr>
        <xdr:cNvPr id="19" name="Arc 30"/>
        <xdr:cNvSpPr>
          <a:spLocks/>
        </xdr:cNvSpPr>
      </xdr:nvSpPr>
      <xdr:spPr>
        <a:xfrm rot="13060497" flipH="1">
          <a:off x="1038225" y="1209675"/>
          <a:ext cx="400050" cy="342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9525</xdr:rowOff>
    </xdr:from>
    <xdr:to>
      <xdr:col>2</xdr:col>
      <xdr:colOff>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781050" y="1219200"/>
          <a:ext cx="438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19200" y="1695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0</xdr:rowOff>
    </xdr:from>
    <xdr:to>
      <xdr:col>3</xdr:col>
      <xdr:colOff>447675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295400" y="1209675"/>
          <a:ext cx="457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304925" y="1695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0</xdr:colOff>
      <xdr:row>11</xdr:row>
      <xdr:rowOff>0</xdr:rowOff>
    </xdr:to>
    <xdr:sp>
      <xdr:nvSpPr>
        <xdr:cNvPr id="5" name="Line 7"/>
        <xdr:cNvSpPr>
          <a:spLocks/>
        </xdr:cNvSpPr>
      </xdr:nvSpPr>
      <xdr:spPr>
        <a:xfrm>
          <a:off x="2495550" y="35242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1371600" y="16954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5</xdr:col>
      <xdr:colOff>200025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1314450" y="1857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0</xdr:rowOff>
    </xdr:from>
    <xdr:to>
      <xdr:col>4</xdr:col>
      <xdr:colOff>161925</xdr:colOff>
      <xdr:row>10</xdr:row>
      <xdr:rowOff>9525</xdr:rowOff>
    </xdr:to>
    <xdr:sp>
      <xdr:nvSpPr>
        <xdr:cNvPr id="8" name="Line 10"/>
        <xdr:cNvSpPr>
          <a:spLocks/>
        </xdr:cNvSpPr>
      </xdr:nvSpPr>
      <xdr:spPr>
        <a:xfrm flipH="1">
          <a:off x="2047875" y="1209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</xdr:row>
      <xdr:rowOff>152400</xdr:rowOff>
    </xdr:from>
    <xdr:to>
      <xdr:col>4</xdr:col>
      <xdr:colOff>161925</xdr:colOff>
      <xdr:row>11</xdr:row>
      <xdr:rowOff>19050</xdr:rowOff>
    </xdr:to>
    <xdr:sp>
      <xdr:nvSpPr>
        <xdr:cNvPr id="9" name="Line 11"/>
        <xdr:cNvSpPr>
          <a:spLocks/>
        </xdr:cNvSpPr>
      </xdr:nvSpPr>
      <xdr:spPr>
        <a:xfrm>
          <a:off x="2047875" y="1685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13</xdr:row>
      <xdr:rowOff>57150</xdr:rowOff>
    </xdr:to>
    <xdr:sp>
      <xdr:nvSpPr>
        <xdr:cNvPr id="10" name="Line 12"/>
        <xdr:cNvSpPr>
          <a:spLocks/>
        </xdr:cNvSpPr>
      </xdr:nvSpPr>
      <xdr:spPr>
        <a:xfrm flipH="1">
          <a:off x="1219200" y="1876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13</xdr:row>
      <xdr:rowOff>76200</xdr:rowOff>
    </xdr:to>
    <xdr:sp>
      <xdr:nvSpPr>
        <xdr:cNvPr id="11" name="Line 13"/>
        <xdr:cNvSpPr>
          <a:spLocks/>
        </xdr:cNvSpPr>
      </xdr:nvSpPr>
      <xdr:spPr>
        <a:xfrm flipH="1">
          <a:off x="1304925" y="1885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1</xdr:col>
      <xdr:colOff>85725</xdr:colOff>
      <xdr:row>2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152400" y="400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12</xdr:row>
      <xdr:rowOff>0</xdr:rowOff>
    </xdr:from>
    <xdr:to>
      <xdr:col>2</xdr:col>
      <xdr:colOff>9525</xdr:colOff>
      <xdr:row>12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102870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152400</xdr:colOff>
      <xdr:row>12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1314450" y="201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04775" y="18573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</xdr:row>
      <xdr:rowOff>152400</xdr:rowOff>
    </xdr:from>
    <xdr:to>
      <xdr:col>4</xdr:col>
      <xdr:colOff>95250</xdr:colOff>
      <xdr:row>7</xdr:row>
      <xdr:rowOff>0</xdr:rowOff>
    </xdr:to>
    <xdr:sp>
      <xdr:nvSpPr>
        <xdr:cNvPr id="16" name="Line 18"/>
        <xdr:cNvSpPr>
          <a:spLocks/>
        </xdr:cNvSpPr>
      </xdr:nvSpPr>
      <xdr:spPr>
        <a:xfrm flipV="1">
          <a:off x="1743075" y="352425"/>
          <a:ext cx="238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1</xdr:col>
      <xdr:colOff>171450</xdr:colOff>
      <xdr:row>7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695325" y="400050"/>
          <a:ext cx="857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</xdr:row>
      <xdr:rowOff>180975</xdr:rowOff>
    </xdr:from>
    <xdr:to>
      <xdr:col>5</xdr:col>
      <xdr:colOff>114300</xdr:colOff>
      <xdr:row>1</xdr:row>
      <xdr:rowOff>180975</xdr:rowOff>
    </xdr:to>
    <xdr:sp>
      <xdr:nvSpPr>
        <xdr:cNvPr id="18" name="Line 21"/>
        <xdr:cNvSpPr>
          <a:spLocks/>
        </xdr:cNvSpPr>
      </xdr:nvSpPr>
      <xdr:spPr>
        <a:xfrm flipH="1">
          <a:off x="1981200" y="381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0</xdr:rowOff>
    </xdr:from>
    <xdr:to>
      <xdr:col>4</xdr:col>
      <xdr:colOff>466725</xdr:colOff>
      <xdr:row>7</xdr:row>
      <xdr:rowOff>0</xdr:rowOff>
    </xdr:to>
    <xdr:sp>
      <xdr:nvSpPr>
        <xdr:cNvPr id="19" name="Line 22"/>
        <xdr:cNvSpPr>
          <a:spLocks/>
        </xdr:cNvSpPr>
      </xdr:nvSpPr>
      <xdr:spPr>
        <a:xfrm>
          <a:off x="1828800" y="12096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</xdr:row>
      <xdr:rowOff>152400</xdr:rowOff>
    </xdr:from>
    <xdr:to>
      <xdr:col>4</xdr:col>
      <xdr:colOff>161925</xdr:colOff>
      <xdr:row>7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2047875" y="3524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85725</xdr:rowOff>
    </xdr:from>
    <xdr:to>
      <xdr:col>3</xdr:col>
      <xdr:colOff>152400</xdr:colOff>
      <xdr:row>9</xdr:row>
      <xdr:rowOff>104775</xdr:rowOff>
    </xdr:to>
    <xdr:sp>
      <xdr:nvSpPr>
        <xdr:cNvPr id="21" name="Arc 24"/>
        <xdr:cNvSpPr>
          <a:spLocks/>
        </xdr:cNvSpPr>
      </xdr:nvSpPr>
      <xdr:spPr>
        <a:xfrm rot="19184245">
          <a:off x="1066800" y="1295400"/>
          <a:ext cx="390525" cy="342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38100</xdr:rowOff>
    </xdr:from>
    <xdr:to>
      <xdr:col>3</xdr:col>
      <xdr:colOff>438150</xdr:colOff>
      <xdr:row>7</xdr:row>
      <xdr:rowOff>104775</xdr:rowOff>
    </xdr:to>
    <xdr:sp>
      <xdr:nvSpPr>
        <xdr:cNvPr id="22" name="Arc 25"/>
        <xdr:cNvSpPr>
          <a:spLocks/>
        </xdr:cNvSpPr>
      </xdr:nvSpPr>
      <xdr:spPr>
        <a:xfrm rot="19145057">
          <a:off x="857250" y="438150"/>
          <a:ext cx="885825" cy="876300"/>
        </a:xfrm>
        <a:custGeom>
          <a:pathLst>
            <a:path fill="none" h="21564" w="21472">
              <a:moveTo>
                <a:pt x="1240" y="-1"/>
              </a:moveTo>
              <a:cubicBezTo>
                <a:pt x="11773" y="605"/>
                <a:pt x="20327" y="8731"/>
                <a:pt x="21472" y="19219"/>
              </a:cubicBezTo>
            </a:path>
            <a:path stroke="0" h="21564" w="21472">
              <a:moveTo>
                <a:pt x="1240" y="-1"/>
              </a:moveTo>
              <a:cubicBezTo>
                <a:pt x="11773" y="605"/>
                <a:pt x="20327" y="8731"/>
                <a:pt x="21472" y="19219"/>
              </a:cubicBezTo>
              <a:lnTo>
                <a:pt x="0" y="2156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66675</xdr:rowOff>
    </xdr:from>
    <xdr:to>
      <xdr:col>4</xdr:col>
      <xdr:colOff>238125</xdr:colOff>
      <xdr:row>5</xdr:row>
      <xdr:rowOff>95250</xdr:rowOff>
    </xdr:to>
    <xdr:sp>
      <xdr:nvSpPr>
        <xdr:cNvPr id="23" name="Arc 26"/>
        <xdr:cNvSpPr>
          <a:spLocks/>
        </xdr:cNvSpPr>
      </xdr:nvSpPr>
      <xdr:spPr>
        <a:xfrm rot="18095819">
          <a:off x="704850" y="66675"/>
          <a:ext cx="1419225" cy="914400"/>
        </a:xfrm>
        <a:custGeom>
          <a:pathLst>
            <a:path fill="none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</a:path>
            <a:path stroke="0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  <a:lnTo>
                <a:pt x="0" y="2110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0</xdr:rowOff>
    </xdr:from>
    <xdr:to>
      <xdr:col>3</xdr:col>
      <xdr:colOff>133350</xdr:colOff>
      <xdr:row>12</xdr:row>
      <xdr:rowOff>19050</xdr:rowOff>
    </xdr:to>
    <xdr:sp>
      <xdr:nvSpPr>
        <xdr:cNvPr id="24" name="Arc 27"/>
        <xdr:cNvSpPr>
          <a:spLocks/>
        </xdr:cNvSpPr>
      </xdr:nvSpPr>
      <xdr:spPr>
        <a:xfrm rot="13060497" flipH="1">
          <a:off x="1038225" y="1695450"/>
          <a:ext cx="400050" cy="342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</xdr:col>
      <xdr:colOff>266700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609600" y="552450"/>
          <a:ext cx="266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</xdr:row>
      <xdr:rowOff>152400</xdr:rowOff>
    </xdr:from>
    <xdr:to>
      <xdr:col>4</xdr:col>
      <xdr:colOff>28575</xdr:colOff>
      <xdr:row>6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1809750" y="552450"/>
          <a:ext cx="2667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295275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2057400" y="561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5</xdr:col>
      <xdr:colOff>0</xdr:colOff>
      <xdr:row>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2695575" y="5715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7</xdr:row>
      <xdr:rowOff>0</xdr:rowOff>
    </xdr:from>
    <xdr:to>
      <xdr:col>5</xdr:col>
      <xdr:colOff>200025</xdr:colOff>
      <xdr:row>7</xdr:row>
      <xdr:rowOff>0</xdr:rowOff>
    </xdr:to>
    <xdr:sp>
      <xdr:nvSpPr>
        <xdr:cNvPr id="5" name="Line 8"/>
        <xdr:cNvSpPr>
          <a:spLocks/>
        </xdr:cNvSpPr>
      </xdr:nvSpPr>
      <xdr:spPr>
        <a:xfrm>
          <a:off x="1819275" y="1209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7</xdr:row>
      <xdr:rowOff>57150</xdr:rowOff>
    </xdr:from>
    <xdr:to>
      <xdr:col>1</xdr:col>
      <xdr:colOff>266700</xdr:colOff>
      <xdr:row>10</xdr:row>
      <xdr:rowOff>57150</xdr:rowOff>
    </xdr:to>
    <xdr:sp>
      <xdr:nvSpPr>
        <xdr:cNvPr id="6" name="Line 12"/>
        <xdr:cNvSpPr>
          <a:spLocks/>
        </xdr:cNvSpPr>
      </xdr:nvSpPr>
      <xdr:spPr>
        <a:xfrm flipH="1">
          <a:off x="876300" y="1266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57150</xdr:rowOff>
    </xdr:from>
    <xdr:to>
      <xdr:col>3</xdr:col>
      <xdr:colOff>333375</xdr:colOff>
      <xdr:row>9</xdr:row>
      <xdr:rowOff>133350</xdr:rowOff>
    </xdr:to>
    <xdr:sp>
      <xdr:nvSpPr>
        <xdr:cNvPr id="7" name="Line 13"/>
        <xdr:cNvSpPr>
          <a:spLocks/>
        </xdr:cNvSpPr>
      </xdr:nvSpPr>
      <xdr:spPr>
        <a:xfrm flipH="1">
          <a:off x="1800225" y="12668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0</xdr:col>
      <xdr:colOff>600075</xdr:colOff>
      <xdr:row>2</xdr:row>
      <xdr:rowOff>152400</xdr:rowOff>
    </xdr:to>
    <xdr:sp>
      <xdr:nvSpPr>
        <xdr:cNvPr id="8" name="Line 14"/>
        <xdr:cNvSpPr>
          <a:spLocks/>
        </xdr:cNvSpPr>
      </xdr:nvSpPr>
      <xdr:spPr>
        <a:xfrm flipH="1">
          <a:off x="57150" y="552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0</xdr:rowOff>
    </xdr:from>
    <xdr:to>
      <xdr:col>1</xdr:col>
      <xdr:colOff>257175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104775" y="1209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8</xdr:row>
      <xdr:rowOff>152400</xdr:rowOff>
    </xdr:from>
    <xdr:to>
      <xdr:col>3</xdr:col>
      <xdr:colOff>352425</xdr:colOff>
      <xdr:row>8</xdr:row>
      <xdr:rowOff>152400</xdr:rowOff>
    </xdr:to>
    <xdr:sp>
      <xdr:nvSpPr>
        <xdr:cNvPr id="10" name="Line 18"/>
        <xdr:cNvSpPr>
          <a:spLocks/>
        </xdr:cNvSpPr>
      </xdr:nvSpPr>
      <xdr:spPr>
        <a:xfrm flipV="1">
          <a:off x="876300" y="1524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0</xdr:rowOff>
    </xdr:from>
    <xdr:to>
      <xdr:col>4</xdr:col>
      <xdr:colOff>219075</xdr:colOff>
      <xdr:row>7</xdr:row>
      <xdr:rowOff>76200</xdr:rowOff>
    </xdr:to>
    <xdr:sp>
      <xdr:nvSpPr>
        <xdr:cNvPr id="11" name="Rectangle 19"/>
        <xdr:cNvSpPr>
          <a:spLocks/>
        </xdr:cNvSpPr>
      </xdr:nvSpPr>
      <xdr:spPr>
        <a:xfrm>
          <a:off x="571500" y="1209675"/>
          <a:ext cx="1695450" cy="762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142875</xdr:rowOff>
    </xdr:from>
    <xdr:to>
      <xdr:col>3</xdr:col>
      <xdr:colOff>381000</xdr:colOff>
      <xdr:row>7</xdr:row>
      <xdr:rowOff>152400</xdr:rowOff>
    </xdr:to>
    <xdr:sp>
      <xdr:nvSpPr>
        <xdr:cNvPr id="12" name="Arc 20"/>
        <xdr:cNvSpPr>
          <a:spLocks/>
        </xdr:cNvSpPr>
      </xdr:nvSpPr>
      <xdr:spPr>
        <a:xfrm rot="19101719">
          <a:off x="885825" y="342900"/>
          <a:ext cx="962025" cy="1019175"/>
        </a:xfrm>
        <a:custGeom>
          <a:pathLst>
            <a:path fill="none" h="21588" w="21435">
              <a:moveTo>
                <a:pt x="732" y="0"/>
              </a:moveTo>
              <a:cubicBezTo>
                <a:pt x="11346" y="360"/>
                <a:pt x="20122" y="8382"/>
                <a:pt x="21434" y="18920"/>
              </a:cubicBezTo>
            </a:path>
            <a:path stroke="0" h="21588" w="21435">
              <a:moveTo>
                <a:pt x="732" y="0"/>
              </a:moveTo>
              <a:cubicBezTo>
                <a:pt x="11346" y="360"/>
                <a:pt x="20122" y="8382"/>
                <a:pt x="21434" y="18920"/>
              </a:cubicBezTo>
              <a:lnTo>
                <a:pt x="0" y="2158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104775</xdr:rowOff>
    </xdr:from>
    <xdr:to>
      <xdr:col>4</xdr:col>
      <xdr:colOff>390525</xdr:colOff>
      <xdr:row>7</xdr:row>
      <xdr:rowOff>57150</xdr:rowOff>
    </xdr:to>
    <xdr:sp>
      <xdr:nvSpPr>
        <xdr:cNvPr id="13" name="Arc 21"/>
        <xdr:cNvSpPr>
          <a:spLocks/>
        </xdr:cNvSpPr>
      </xdr:nvSpPr>
      <xdr:spPr>
        <a:xfrm rot="18095819">
          <a:off x="609600" y="304800"/>
          <a:ext cx="1828800" cy="962025"/>
        </a:xfrm>
        <a:custGeom>
          <a:pathLst>
            <a:path fill="none" h="21108" w="20522">
              <a:moveTo>
                <a:pt x="4585" y="0"/>
              </a:moveTo>
              <a:cubicBezTo>
                <a:pt x="12069" y="1626"/>
                <a:pt x="18133" y="7093"/>
                <a:pt x="20522" y="14369"/>
              </a:cubicBezTo>
            </a:path>
            <a:path stroke="0" h="21108" w="20522">
              <a:moveTo>
                <a:pt x="4585" y="0"/>
              </a:moveTo>
              <a:cubicBezTo>
                <a:pt x="12069" y="1626"/>
                <a:pt x="18133" y="7093"/>
                <a:pt x="20522" y="14369"/>
              </a:cubicBezTo>
              <a:lnTo>
                <a:pt x="0" y="2110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0</xdr:rowOff>
    </xdr:from>
    <xdr:to>
      <xdr:col>3</xdr:col>
      <xdr:colOff>323850</xdr:colOff>
      <xdr:row>9</xdr:row>
      <xdr:rowOff>19050</xdr:rowOff>
    </xdr:to>
    <xdr:sp>
      <xdr:nvSpPr>
        <xdr:cNvPr id="14" name="Arc 23"/>
        <xdr:cNvSpPr>
          <a:spLocks/>
        </xdr:cNvSpPr>
      </xdr:nvSpPr>
      <xdr:spPr>
        <a:xfrm rot="8729306">
          <a:off x="790575" y="885825"/>
          <a:ext cx="1000125" cy="6667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1219200" y="1695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2" name="Line 4"/>
        <xdr:cNvSpPr>
          <a:spLocks/>
        </xdr:cNvSpPr>
      </xdr:nvSpPr>
      <xdr:spPr>
        <a:xfrm>
          <a:off x="1304925" y="1695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0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2495550" y="35242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1371600" y="16954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5</xdr:col>
      <xdr:colOff>200025</xdr:colOff>
      <xdr:row>11</xdr:row>
      <xdr:rowOff>0</xdr:rowOff>
    </xdr:to>
    <xdr:sp>
      <xdr:nvSpPr>
        <xdr:cNvPr id="5" name="Line 8"/>
        <xdr:cNvSpPr>
          <a:spLocks/>
        </xdr:cNvSpPr>
      </xdr:nvSpPr>
      <xdr:spPr>
        <a:xfrm>
          <a:off x="1314450" y="1857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152400</xdr:rowOff>
    </xdr:from>
    <xdr:to>
      <xdr:col>4</xdr:col>
      <xdr:colOff>161925</xdr:colOff>
      <xdr:row>10</xdr:row>
      <xdr:rowOff>9525</xdr:rowOff>
    </xdr:to>
    <xdr:sp>
      <xdr:nvSpPr>
        <xdr:cNvPr id="6" name="Line 9"/>
        <xdr:cNvSpPr>
          <a:spLocks/>
        </xdr:cNvSpPr>
      </xdr:nvSpPr>
      <xdr:spPr>
        <a:xfrm>
          <a:off x="2047875" y="1362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</xdr:row>
      <xdr:rowOff>152400</xdr:rowOff>
    </xdr:from>
    <xdr:to>
      <xdr:col>4</xdr:col>
      <xdr:colOff>161925</xdr:colOff>
      <xdr:row>11</xdr:row>
      <xdr:rowOff>19050</xdr:rowOff>
    </xdr:to>
    <xdr:sp>
      <xdr:nvSpPr>
        <xdr:cNvPr id="7" name="Line 10"/>
        <xdr:cNvSpPr>
          <a:spLocks/>
        </xdr:cNvSpPr>
      </xdr:nvSpPr>
      <xdr:spPr>
        <a:xfrm>
          <a:off x="2047875" y="1685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13</xdr:row>
      <xdr:rowOff>57150</xdr:rowOff>
    </xdr:to>
    <xdr:sp>
      <xdr:nvSpPr>
        <xdr:cNvPr id="8" name="Line 11"/>
        <xdr:cNvSpPr>
          <a:spLocks/>
        </xdr:cNvSpPr>
      </xdr:nvSpPr>
      <xdr:spPr>
        <a:xfrm flipH="1">
          <a:off x="1219200" y="1876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13</xdr:row>
      <xdr:rowOff>76200</xdr:rowOff>
    </xdr:to>
    <xdr:sp>
      <xdr:nvSpPr>
        <xdr:cNvPr id="9" name="Line 12"/>
        <xdr:cNvSpPr>
          <a:spLocks/>
        </xdr:cNvSpPr>
      </xdr:nvSpPr>
      <xdr:spPr>
        <a:xfrm flipH="1">
          <a:off x="1304925" y="1885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1</xdr:col>
      <xdr:colOff>85725</xdr:colOff>
      <xdr:row>2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152400" y="400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12</xdr:row>
      <xdr:rowOff>0</xdr:rowOff>
    </xdr:from>
    <xdr:to>
      <xdr:col>2</xdr:col>
      <xdr:colOff>9525</xdr:colOff>
      <xdr:row>12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102870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152400</xdr:colOff>
      <xdr:row>12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1314450" y="201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104775" y="18573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152400</xdr:rowOff>
    </xdr:from>
    <xdr:to>
      <xdr:col>4</xdr:col>
      <xdr:colOff>95250</xdr:colOff>
      <xdr:row>8</xdr:row>
      <xdr:rowOff>123825</xdr:rowOff>
    </xdr:to>
    <xdr:sp>
      <xdr:nvSpPr>
        <xdr:cNvPr id="14" name="Line 17"/>
        <xdr:cNvSpPr>
          <a:spLocks/>
        </xdr:cNvSpPr>
      </xdr:nvSpPr>
      <xdr:spPr>
        <a:xfrm flipV="1">
          <a:off x="1581150" y="352425"/>
          <a:ext cx="400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1</xdr:col>
      <xdr:colOff>342900</xdr:colOff>
      <xdr:row>9</xdr:row>
      <xdr:rowOff>0</xdr:rowOff>
    </xdr:to>
    <xdr:sp>
      <xdr:nvSpPr>
        <xdr:cNvPr id="15" name="Line 18"/>
        <xdr:cNvSpPr>
          <a:spLocks/>
        </xdr:cNvSpPr>
      </xdr:nvSpPr>
      <xdr:spPr>
        <a:xfrm flipH="1" flipV="1">
          <a:off x="695325" y="400050"/>
          <a:ext cx="2571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</xdr:row>
      <xdr:rowOff>161925</xdr:rowOff>
    </xdr:from>
    <xdr:to>
      <xdr:col>5</xdr:col>
      <xdr:colOff>114300</xdr:colOff>
      <xdr:row>1</xdr:row>
      <xdr:rowOff>161925</xdr:rowOff>
    </xdr:to>
    <xdr:sp>
      <xdr:nvSpPr>
        <xdr:cNvPr id="16" name="Line 20"/>
        <xdr:cNvSpPr>
          <a:spLocks/>
        </xdr:cNvSpPr>
      </xdr:nvSpPr>
      <xdr:spPr>
        <a:xfrm flipH="1">
          <a:off x="1981200" y="3619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0</xdr:rowOff>
    </xdr:from>
    <xdr:to>
      <xdr:col>4</xdr:col>
      <xdr:colOff>361950</xdr:colOff>
      <xdr:row>8</xdr:row>
      <xdr:rowOff>0</xdr:rowOff>
    </xdr:to>
    <xdr:sp>
      <xdr:nvSpPr>
        <xdr:cNvPr id="17" name="Line 21"/>
        <xdr:cNvSpPr>
          <a:spLocks/>
        </xdr:cNvSpPr>
      </xdr:nvSpPr>
      <xdr:spPr>
        <a:xfrm>
          <a:off x="1724025" y="1371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</xdr:row>
      <xdr:rowOff>152400</xdr:rowOff>
    </xdr:from>
    <xdr:to>
      <xdr:col>4</xdr:col>
      <xdr:colOff>161925</xdr:colOff>
      <xdr:row>8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2047875" y="3524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47625</xdr:rowOff>
    </xdr:from>
    <xdr:to>
      <xdr:col>2</xdr:col>
      <xdr:colOff>9525</xdr:colOff>
      <xdr:row>10</xdr:row>
      <xdr:rowOff>9525</xdr:rowOff>
    </xdr:to>
    <xdr:sp>
      <xdr:nvSpPr>
        <xdr:cNvPr id="19" name="Arc 25"/>
        <xdr:cNvSpPr>
          <a:spLocks/>
        </xdr:cNvSpPr>
      </xdr:nvSpPr>
      <xdr:spPr>
        <a:xfrm flipH="1" flipV="1">
          <a:off x="942975" y="1419225"/>
          <a:ext cx="285750" cy="2857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0</xdr:rowOff>
    </xdr:from>
    <xdr:to>
      <xdr:col>3</xdr:col>
      <xdr:colOff>142875</xdr:colOff>
      <xdr:row>9</xdr:row>
      <xdr:rowOff>123825</xdr:rowOff>
    </xdr:to>
    <xdr:sp>
      <xdr:nvSpPr>
        <xdr:cNvPr id="20" name="Line 32"/>
        <xdr:cNvSpPr>
          <a:spLocks/>
        </xdr:cNvSpPr>
      </xdr:nvSpPr>
      <xdr:spPr>
        <a:xfrm>
          <a:off x="1362075" y="153352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3</xdr:col>
      <xdr:colOff>57150</xdr:colOff>
      <xdr:row>9</xdr:row>
      <xdr:rowOff>0</xdr:rowOff>
    </xdr:to>
    <xdr:sp>
      <xdr:nvSpPr>
        <xdr:cNvPr id="21" name="Line 33"/>
        <xdr:cNvSpPr>
          <a:spLocks/>
        </xdr:cNvSpPr>
      </xdr:nvSpPr>
      <xdr:spPr>
        <a:xfrm flipH="1">
          <a:off x="1181100" y="1533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114300</xdr:rowOff>
    </xdr:from>
    <xdr:to>
      <xdr:col>3</xdr:col>
      <xdr:colOff>276225</xdr:colOff>
      <xdr:row>10</xdr:row>
      <xdr:rowOff>0</xdr:rowOff>
    </xdr:to>
    <xdr:sp>
      <xdr:nvSpPr>
        <xdr:cNvPr id="22" name="Arc 35"/>
        <xdr:cNvSpPr>
          <a:spLocks/>
        </xdr:cNvSpPr>
      </xdr:nvSpPr>
      <xdr:spPr>
        <a:xfrm flipV="1">
          <a:off x="1314450" y="1485900"/>
          <a:ext cx="266700" cy="209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66675</xdr:rowOff>
    </xdr:from>
    <xdr:to>
      <xdr:col>3</xdr:col>
      <xdr:colOff>361950</xdr:colOff>
      <xdr:row>7</xdr:row>
      <xdr:rowOff>57150</xdr:rowOff>
    </xdr:to>
    <xdr:sp>
      <xdr:nvSpPr>
        <xdr:cNvPr id="23" name="Arc 36"/>
        <xdr:cNvSpPr>
          <a:spLocks/>
        </xdr:cNvSpPr>
      </xdr:nvSpPr>
      <xdr:spPr>
        <a:xfrm rot="19256918">
          <a:off x="942975" y="628650"/>
          <a:ext cx="723900" cy="638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4</xdr:col>
      <xdr:colOff>200025</xdr:colOff>
      <xdr:row>5</xdr:row>
      <xdr:rowOff>66675</xdr:rowOff>
    </xdr:to>
    <xdr:sp>
      <xdr:nvSpPr>
        <xdr:cNvPr id="24" name="Arc 38"/>
        <xdr:cNvSpPr>
          <a:spLocks/>
        </xdr:cNvSpPr>
      </xdr:nvSpPr>
      <xdr:spPr>
        <a:xfrm rot="18095819">
          <a:off x="723900" y="104775"/>
          <a:ext cx="1362075" cy="847725"/>
        </a:xfrm>
        <a:custGeom>
          <a:pathLst>
            <a:path fill="none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</a:path>
            <a:path stroke="0" h="21108" w="21175">
              <a:moveTo>
                <a:pt x="4585" y="0"/>
              </a:moveTo>
              <a:cubicBezTo>
                <a:pt x="12970" y="1822"/>
                <a:pt x="19481" y="8433"/>
                <a:pt x="21174" y="16844"/>
              </a:cubicBezTo>
              <a:lnTo>
                <a:pt x="0" y="2110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47625</xdr:rowOff>
    </xdr:from>
    <xdr:to>
      <xdr:col>3</xdr:col>
      <xdr:colOff>314325</xdr:colOff>
      <xdr:row>8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1619250" y="1095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85725</xdr:rowOff>
    </xdr:from>
    <xdr:to>
      <xdr:col>3</xdr:col>
      <xdr:colOff>0</xdr:colOff>
      <xdr:row>9</xdr:row>
      <xdr:rowOff>76200</xdr:rowOff>
    </xdr:to>
    <xdr:sp>
      <xdr:nvSpPr>
        <xdr:cNvPr id="26" name="Line 40"/>
        <xdr:cNvSpPr>
          <a:spLocks/>
        </xdr:cNvSpPr>
      </xdr:nvSpPr>
      <xdr:spPr>
        <a:xfrm flipV="1">
          <a:off x="1304925" y="1133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66675</xdr:rowOff>
    </xdr:from>
    <xdr:to>
      <xdr:col>3</xdr:col>
      <xdr:colOff>314325</xdr:colOff>
      <xdr:row>7</xdr:row>
      <xdr:rowOff>66675</xdr:rowOff>
    </xdr:to>
    <xdr:sp>
      <xdr:nvSpPr>
        <xdr:cNvPr id="27" name="Line 41"/>
        <xdr:cNvSpPr>
          <a:spLocks/>
        </xdr:cNvSpPr>
      </xdr:nvSpPr>
      <xdr:spPr>
        <a:xfrm flipH="1">
          <a:off x="1295400" y="1276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9</xdr:row>
      <xdr:rowOff>152400</xdr:rowOff>
    </xdr:from>
    <xdr:to>
      <xdr:col>3</xdr:col>
      <xdr:colOff>133350</xdr:colOff>
      <xdr:row>12</xdr:row>
      <xdr:rowOff>9525</xdr:rowOff>
    </xdr:to>
    <xdr:sp>
      <xdr:nvSpPr>
        <xdr:cNvPr id="28" name="Arc 42"/>
        <xdr:cNvSpPr>
          <a:spLocks/>
        </xdr:cNvSpPr>
      </xdr:nvSpPr>
      <xdr:spPr>
        <a:xfrm rot="13060497" flipH="1">
          <a:off x="1038225" y="1685925"/>
          <a:ext cx="400050" cy="342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vtools.weebl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vtools.weebl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vtools.weebly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vtools.weebly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vtools.weebly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="75" zoomScaleNormal="75" zoomScalePageLayoutView="0" workbookViewId="0" topLeftCell="A1">
      <selection activeCell="F38" sqref="F38"/>
    </sheetView>
  </sheetViews>
  <sheetFormatPr defaultColWidth="9.140625" defaultRowHeight="12.75"/>
  <cols>
    <col min="3" max="3" width="1.28515625" style="0" customWidth="1"/>
    <col min="4" max="4" width="8.7109375" style="0" customWidth="1"/>
    <col min="6" max="6" width="5.28125" style="0" customWidth="1"/>
    <col min="7" max="7" width="6.28125" style="0" customWidth="1"/>
    <col min="8" max="8" width="5.00390625" style="0" customWidth="1"/>
    <col min="9" max="9" width="11.7109375" style="0" customWidth="1"/>
    <col min="10" max="10" width="6.28125" style="0" customWidth="1"/>
    <col min="11" max="11" width="12.421875" style="0" bestFit="1" customWidth="1"/>
    <col min="12" max="12" width="16.28125" style="0" customWidth="1"/>
    <col min="14" max="14" width="10.421875" style="0" customWidth="1"/>
  </cols>
  <sheetData>
    <row r="1" spans="1:20" s="37" customFormat="1" ht="15.75">
      <c r="A1" s="36" t="s">
        <v>0</v>
      </c>
      <c r="E1" s="93" t="s">
        <v>46</v>
      </c>
      <c r="F1" s="93"/>
      <c r="G1" s="93"/>
      <c r="H1" s="93"/>
      <c r="I1" s="93"/>
      <c r="J1" s="94" t="s">
        <v>47</v>
      </c>
      <c r="L1" s="57" t="s">
        <v>43</v>
      </c>
      <c r="M1" s="58"/>
      <c r="N1" s="61"/>
      <c r="P1" s="88" t="s">
        <v>58</v>
      </c>
      <c r="Q1" s="90" t="s">
        <v>59</v>
      </c>
      <c r="R1" s="90"/>
      <c r="S1" s="90"/>
      <c r="T1" s="91"/>
    </row>
    <row r="2" spans="5:14" ht="15.75">
      <c r="E2" s="93"/>
      <c r="F2" s="93"/>
      <c r="G2" s="93"/>
      <c r="H2" s="93"/>
      <c r="I2" s="93"/>
      <c r="J2" s="94"/>
      <c r="L2" s="59" t="s">
        <v>17</v>
      </c>
      <c r="M2" s="71" t="s">
        <v>18</v>
      </c>
      <c r="N2" s="62"/>
    </row>
    <row r="3" spans="2:14" ht="12.75">
      <c r="B3" s="7" t="s">
        <v>1</v>
      </c>
      <c r="D3" s="4">
        <v>45</v>
      </c>
      <c r="L3" s="46" t="s">
        <v>33</v>
      </c>
      <c r="M3" s="47">
        <v>2.67</v>
      </c>
      <c r="N3" s="63"/>
    </row>
    <row r="4" spans="2:14" ht="12.75">
      <c r="B4" s="1"/>
      <c r="E4" s="95">
        <f>2*G4/3</f>
        <v>40</v>
      </c>
      <c r="F4" s="97" t="s">
        <v>2</v>
      </c>
      <c r="G4" s="98">
        <v>60</v>
      </c>
      <c r="H4" s="8"/>
      <c r="L4" s="46" t="s">
        <v>34</v>
      </c>
      <c r="M4" s="47">
        <v>0.44</v>
      </c>
      <c r="N4" s="63"/>
    </row>
    <row r="5" spans="5:14" ht="12.75">
      <c r="E5" s="95"/>
      <c r="F5" s="97"/>
      <c r="G5" s="98"/>
      <c r="H5" s="8"/>
      <c r="I5" s="39"/>
      <c r="L5" s="47" t="s">
        <v>19</v>
      </c>
      <c r="M5" s="47">
        <v>0.53</v>
      </c>
      <c r="N5" s="63"/>
    </row>
    <row r="6" spans="5:14" ht="12.75">
      <c r="E6" s="95"/>
      <c r="F6" s="97"/>
      <c r="G6" s="98"/>
      <c r="H6" s="8"/>
      <c r="L6" s="46" t="s">
        <v>31</v>
      </c>
      <c r="M6" s="47">
        <v>2</v>
      </c>
      <c r="N6" s="63"/>
    </row>
    <row r="7" spans="5:14" ht="12.75">
      <c r="E7" s="95"/>
      <c r="F7" s="97"/>
      <c r="G7" s="98"/>
      <c r="K7" s="4"/>
      <c r="L7" s="46" t="s">
        <v>32</v>
      </c>
      <c r="M7" s="47">
        <v>10</v>
      </c>
      <c r="N7" s="63"/>
    </row>
    <row r="8" spans="4:14" ht="12.75" customHeight="1">
      <c r="D8" s="11" t="s">
        <v>3</v>
      </c>
      <c r="E8" s="6">
        <v>2</v>
      </c>
      <c r="F8" s="97"/>
      <c r="G8" s="98"/>
      <c r="J8" s="12" t="str">
        <f>IF(J1="LS","LG OF LONG SEAM=",IF(J1="CS","I/D OF SHELL","ERROR"))</f>
        <v>I/D OF SHELL</v>
      </c>
      <c r="K8" s="4">
        <v>2600</v>
      </c>
      <c r="L8" s="65"/>
      <c r="M8" s="65"/>
      <c r="N8" s="64"/>
    </row>
    <row r="9" spans="5:14" ht="12.75">
      <c r="E9" s="96">
        <f>G4-E4-E8</f>
        <v>18</v>
      </c>
      <c r="F9" s="97"/>
      <c r="G9" s="98"/>
      <c r="H9" s="8"/>
      <c r="J9" s="12" t="s">
        <v>26</v>
      </c>
      <c r="K9" s="69" t="s">
        <v>27</v>
      </c>
      <c r="L9" s="92" t="s">
        <v>20</v>
      </c>
      <c r="M9" s="92" t="s">
        <v>21</v>
      </c>
      <c r="N9" s="92"/>
    </row>
    <row r="10" spans="2:14" ht="12.75">
      <c r="B10" s="1"/>
      <c r="C10" s="1"/>
      <c r="E10" s="96"/>
      <c r="F10" s="97"/>
      <c r="G10" s="98"/>
      <c r="H10" s="8"/>
      <c r="L10" s="92"/>
      <c r="M10" s="92"/>
      <c r="N10" s="92"/>
    </row>
    <row r="11" spans="2:14" ht="12.75">
      <c r="B11" s="7" t="s">
        <v>4</v>
      </c>
      <c r="C11" s="1"/>
      <c r="D11" s="4">
        <v>60</v>
      </c>
      <c r="J11" s="38" t="s">
        <v>28</v>
      </c>
      <c r="K11" s="41">
        <f>IF(K9="SS",0.000008,IF(K9="STEEL",0.00000785,"ERROR"))</f>
        <v>7.85E-06</v>
      </c>
      <c r="L11" s="46" t="s">
        <v>35</v>
      </c>
      <c r="M11" s="118">
        <v>1</v>
      </c>
      <c r="N11" s="119"/>
    </row>
    <row r="12" spans="12:14" ht="12.75">
      <c r="L12" s="46" t="s">
        <v>36</v>
      </c>
      <c r="M12" s="118">
        <v>1.1</v>
      </c>
      <c r="N12" s="119"/>
    </row>
    <row r="13" spans="2:14" ht="12.75">
      <c r="B13" s="125" t="s">
        <v>5</v>
      </c>
      <c r="C13" s="125"/>
      <c r="D13" s="9">
        <v>3</v>
      </c>
      <c r="L13" s="46" t="s">
        <v>37</v>
      </c>
      <c r="M13" s="118">
        <v>1.6</v>
      </c>
      <c r="N13" s="119"/>
    </row>
    <row r="14" spans="6:14" ht="12.75" customHeight="1">
      <c r="F14" s="13" t="s">
        <v>6</v>
      </c>
      <c r="H14" s="3"/>
      <c r="L14" s="65"/>
      <c r="M14" s="65"/>
      <c r="N14" s="65"/>
    </row>
    <row r="15" spans="12:14" ht="12.75">
      <c r="L15" s="92" t="s">
        <v>22</v>
      </c>
      <c r="M15" s="92" t="s">
        <v>21</v>
      </c>
      <c r="N15" s="92"/>
    </row>
    <row r="16" spans="4:14" s="18" customFormat="1" ht="12.75">
      <c r="D16" s="19" t="s">
        <v>7</v>
      </c>
      <c r="E16" s="21"/>
      <c r="F16" s="45" t="s">
        <v>8</v>
      </c>
      <c r="G16" s="21"/>
      <c r="H16" s="20"/>
      <c r="I16" s="44"/>
      <c r="J16" s="44"/>
      <c r="L16" s="92"/>
      <c r="M16" s="92"/>
      <c r="N16" s="92"/>
    </row>
    <row r="17" spans="1:14" s="18" customFormat="1" ht="12.75">
      <c r="A17" s="22"/>
      <c r="B17" s="23"/>
      <c r="C17" s="24"/>
      <c r="D17" s="22"/>
      <c r="E17" s="24"/>
      <c r="F17" s="105"/>
      <c r="G17" s="106"/>
      <c r="H17" s="107"/>
      <c r="L17" s="60" t="s">
        <v>29</v>
      </c>
      <c r="M17" s="118">
        <v>1.5</v>
      </c>
      <c r="N17" s="119"/>
    </row>
    <row r="18" spans="1:14" s="18" customFormat="1" ht="12.75">
      <c r="A18" s="25" t="s">
        <v>9</v>
      </c>
      <c r="B18" s="26"/>
      <c r="C18" s="27"/>
      <c r="D18" s="114">
        <f>(E4+E8)*D13+E4*E4*TAN(RADIANS(D3/2))+(D13+2*E4*TAN(RADIANS(D3/2)))*3</f>
        <v>897.1529547664949</v>
      </c>
      <c r="E18" s="115"/>
      <c r="F18" s="114">
        <f>IF(J1="CS",D18*K11*PI()*(K8+G4),IF(J1="LS",D18*K11*K8,"ERROR"))</f>
        <v>58.85287156196766</v>
      </c>
      <c r="G18" s="120"/>
      <c r="H18" s="115"/>
      <c r="L18" s="60" t="s">
        <v>30</v>
      </c>
      <c r="M18" s="118">
        <v>1</v>
      </c>
      <c r="N18" s="119"/>
    </row>
    <row r="19" spans="1:14" s="18" customFormat="1" ht="12.75">
      <c r="A19" s="30" t="s">
        <v>10</v>
      </c>
      <c r="B19" s="31"/>
      <c r="C19" s="32"/>
      <c r="D19" s="116">
        <f>E9*TAN(RADIANS(D11/2))*E9+PI()*IF(G4&gt;M22,N22*N22,N21*N21)/2+(D13+2*E9*TAN(RADIANS(D11/2)))*3</f>
        <v>484.60998734838347</v>
      </c>
      <c r="E19" s="117"/>
      <c r="F19" s="116">
        <f>IF(J1="CS",D19*K11*PI()*(K8+G4),IF(J1="LS",D19*K11*K8,"ERROR"))</f>
        <v>31.790219484351322</v>
      </c>
      <c r="G19" s="121"/>
      <c r="H19" s="117"/>
      <c r="L19" s="66"/>
      <c r="M19" s="23"/>
      <c r="N19" s="23"/>
    </row>
    <row r="20" spans="1:14" s="18" customFormat="1" ht="12.75">
      <c r="A20" s="33" t="s">
        <v>11</v>
      </c>
      <c r="B20" s="34"/>
      <c r="C20" s="35"/>
      <c r="D20" s="99">
        <f>SUM(D18:E19)</f>
        <v>1381.7629421148783</v>
      </c>
      <c r="E20" s="101"/>
      <c r="F20" s="99">
        <f>SUM(F18:G19)</f>
        <v>90.64309104631899</v>
      </c>
      <c r="G20" s="100"/>
      <c r="H20" s="101"/>
      <c r="L20" s="122" t="s">
        <v>44</v>
      </c>
      <c r="M20" s="123"/>
      <c r="N20" s="124"/>
    </row>
    <row r="21" spans="12:14" ht="12.75">
      <c r="L21" s="81" t="s">
        <v>52</v>
      </c>
      <c r="M21" s="79">
        <v>30</v>
      </c>
      <c r="N21" s="70">
        <v>6</v>
      </c>
    </row>
    <row r="22" spans="12:14" ht="12.75">
      <c r="L22" s="81" t="s">
        <v>53</v>
      </c>
      <c r="M22" s="80">
        <f>M21</f>
        <v>30</v>
      </c>
      <c r="N22" s="70">
        <v>12</v>
      </c>
    </row>
    <row r="23" spans="1:14" ht="15.75">
      <c r="A23" s="126" t="str">
        <f>IF(J1="CS","CIRC SEAM",IF(J1="LS","LONG SEAM","C/S OR L/S??"))</f>
        <v>CIRC SEAM</v>
      </c>
      <c r="B23" s="126"/>
      <c r="C23" s="126"/>
      <c r="D23" s="127"/>
      <c r="E23" s="102" t="s">
        <v>17</v>
      </c>
      <c r="F23" s="102"/>
      <c r="G23" s="102" t="s">
        <v>38</v>
      </c>
      <c r="H23" s="102"/>
      <c r="I23" s="102" t="s">
        <v>24</v>
      </c>
      <c r="J23" s="102"/>
      <c r="K23" s="56" t="s">
        <v>25</v>
      </c>
      <c r="L23" s="18"/>
      <c r="N23" s="67"/>
    </row>
    <row r="24" spans="1:11" ht="15.75">
      <c r="A24" s="128"/>
      <c r="B24" s="128"/>
      <c r="C24" s="128"/>
      <c r="D24" s="129"/>
      <c r="E24" s="112" t="s">
        <v>45</v>
      </c>
      <c r="F24" s="113"/>
      <c r="G24" s="112" t="s">
        <v>45</v>
      </c>
      <c r="H24" s="113"/>
      <c r="I24" s="130" t="s">
        <v>39</v>
      </c>
      <c r="J24" s="130"/>
      <c r="K24" s="55" t="s">
        <v>56</v>
      </c>
    </row>
    <row r="25" spans="1:11" ht="15.75">
      <c r="A25" s="108" t="s">
        <v>40</v>
      </c>
      <c r="B25" s="109"/>
      <c r="C25" s="109"/>
      <c r="D25" s="84">
        <v>0.2</v>
      </c>
      <c r="E25" s="49">
        <v>1</v>
      </c>
      <c r="F25" s="50">
        <f>IF(E25=1,M3,IF(AND(J1="LS",E25=2),M5,IF(AND(J1="CS",E25=2),M4,IF(E25=3,M6,IF(E25=4,M7,"ERROR")))))</f>
        <v>2.67</v>
      </c>
      <c r="G25" s="49">
        <v>1</v>
      </c>
      <c r="H25" s="51">
        <f>IF(G25=1,M11,IF(G25=2,M12,IF(G25=3,M13,"ERROR")))</f>
        <v>1</v>
      </c>
      <c r="I25" s="49" t="s">
        <v>23</v>
      </c>
      <c r="J25" s="50">
        <f>IF(I25="Y",M17,IF(I25="N",M18,"ERROR"))</f>
        <v>1.5</v>
      </c>
      <c r="K25" s="48">
        <f>IF(AND(OR(E25=2,E25=3),G25=1),D25*F18*F25*H25*J25,IF(OR(E25=1,E25=4),D25*F18*F25*H25*J25,"FALSE"))*60</f>
        <v>2828.469007268166</v>
      </c>
    </row>
    <row r="26" spans="1:11" ht="15.75">
      <c r="A26" s="110" t="s">
        <v>41</v>
      </c>
      <c r="B26" s="111"/>
      <c r="C26" s="111"/>
      <c r="D26" s="85">
        <v>0.8</v>
      </c>
      <c r="E26" s="49">
        <v>2</v>
      </c>
      <c r="F26" s="50">
        <f>IF(E26=1,M3,IF(AND(J1="LS",E26=2),M5,IF(AND(J1="CS",E26=2),M4,IF(E26=3,M6,"ERROR"))))</f>
        <v>0.44</v>
      </c>
      <c r="G26" s="49">
        <v>1</v>
      </c>
      <c r="H26" s="51">
        <f>IF(G26=1,M11,IF(G26=2,M12,IF(G26=3,M13,"ERROR")))</f>
        <v>1</v>
      </c>
      <c r="I26" s="49" t="s">
        <v>23</v>
      </c>
      <c r="J26" s="50">
        <f>IF(I26="Y",M17,IF(I26="N",M18,"ERROR"))</f>
        <v>1.5</v>
      </c>
      <c r="K26" s="48">
        <f>IF(AND(OR(E26=2,E26=3),G26=1),D26*F18*F26*H26*J26,IF(OR(E26=1,E26=4),D26*F18*F26*H26*J26,"FALSE"))*60</f>
        <v>1864.4589710831356</v>
      </c>
    </row>
    <row r="27" spans="1:13" ht="15.75">
      <c r="A27" s="103" t="s">
        <v>42</v>
      </c>
      <c r="B27" s="104"/>
      <c r="C27" s="104"/>
      <c r="D27" s="86">
        <v>1</v>
      </c>
      <c r="E27" s="49">
        <v>2</v>
      </c>
      <c r="F27" s="50">
        <f>IF(E27=1,M3,IF(AND(J1="LS",E27=2),M5,IF(AND(J1="CS",E27=2),M4,IF(E27=3,M6,"ERROR"))))</f>
        <v>0.44</v>
      </c>
      <c r="G27" s="49">
        <v>1</v>
      </c>
      <c r="H27" s="51">
        <f>IF(G27=1,M11,IF(G27=2,M12,IF(G27=3,M13,"ERROR")))</f>
        <v>1</v>
      </c>
      <c r="I27" s="49" t="s">
        <v>55</v>
      </c>
      <c r="J27" s="50">
        <f>IF(I27="Y",M17,IF(I27="N",M18,"ERROR"))</f>
        <v>1</v>
      </c>
      <c r="K27" s="48">
        <f>IF(AND(OR(E27=2,E27=3),G27=1),D27*F19*F27*H27*J27,IF(OR(E27=1,E27=4),D27*F19*F27*H27*J27,"FALSE"))*60</f>
        <v>839.2617943868748</v>
      </c>
      <c r="L27" s="40"/>
      <c r="M27" s="40"/>
    </row>
    <row r="28" spans="12:13" ht="12.75">
      <c r="L28" s="40"/>
      <c r="M28" s="40"/>
    </row>
    <row r="29" spans="12:13" ht="12.75">
      <c r="L29" s="40"/>
      <c r="M29" s="40"/>
    </row>
  </sheetData>
  <sheetProtection password="CC6A" sheet="1" objects="1" scenarios="1"/>
  <mergeCells count="35">
    <mergeCell ref="M11:N11"/>
    <mergeCell ref="M12:N12"/>
    <mergeCell ref="M13:N13"/>
    <mergeCell ref="M17:N17"/>
    <mergeCell ref="I23:J23"/>
    <mergeCell ref="I24:J24"/>
    <mergeCell ref="L15:L16"/>
    <mergeCell ref="M15:N16"/>
    <mergeCell ref="A25:C25"/>
    <mergeCell ref="A26:C26"/>
    <mergeCell ref="E24:F24"/>
    <mergeCell ref="G24:H24"/>
    <mergeCell ref="D18:E18"/>
    <mergeCell ref="D19:E19"/>
    <mergeCell ref="M18:N18"/>
    <mergeCell ref="F18:H18"/>
    <mergeCell ref="F19:H19"/>
    <mergeCell ref="F20:H20"/>
    <mergeCell ref="E23:F23"/>
    <mergeCell ref="D20:E20"/>
    <mergeCell ref="G23:H23"/>
    <mergeCell ref="A27:C27"/>
    <mergeCell ref="L9:L10"/>
    <mergeCell ref="F17:H17"/>
    <mergeCell ref="L20:N20"/>
    <mergeCell ref="B13:C13"/>
    <mergeCell ref="A23:D24"/>
    <mergeCell ref="Q1:T1"/>
    <mergeCell ref="M9:N10"/>
    <mergeCell ref="E1:I2"/>
    <mergeCell ref="J1:J2"/>
    <mergeCell ref="E4:E7"/>
    <mergeCell ref="E9:E10"/>
    <mergeCell ref="F4:F10"/>
    <mergeCell ref="G4:G10"/>
  </mergeCells>
  <hyperlinks>
    <hyperlink ref="Q1" r:id="rId1" display="http://www.pvtools.weebly.com/"/>
  </hyperlinks>
  <printOptions/>
  <pageMargins left="0.75" right="0.75" top="1" bottom="1" header="0.71" footer="0.5"/>
  <pageSetup horizontalDpi="300" verticalDpi="300" orientation="landscape" r:id="rId3"/>
  <headerFooter alignWithMargins="0">
    <oddHeader>&amp;C&amp;"Arial,Bold"&amp;16LONG SEAM/ CIRC SEAM WELD KG &amp;&amp; RUN TIME ESTIMATION</oddHeader>
    <oddFooter>&amp;L&amp;F&amp;C&amp;D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="75" zoomScaleNormal="75" zoomScalePageLayoutView="0" workbookViewId="0" topLeftCell="A1">
      <selection activeCell="P1" sqref="P1:T1"/>
    </sheetView>
  </sheetViews>
  <sheetFormatPr defaultColWidth="9.140625" defaultRowHeight="12.75"/>
  <cols>
    <col min="3" max="3" width="1.28515625" style="0" customWidth="1"/>
    <col min="4" max="4" width="8.7109375" style="0" customWidth="1"/>
    <col min="6" max="6" width="5.28125" style="0" customWidth="1"/>
    <col min="7" max="7" width="8.140625" style="0" customWidth="1"/>
    <col min="8" max="8" width="3.7109375" style="0" customWidth="1"/>
    <col min="11" max="11" width="11.8515625" style="0" customWidth="1"/>
    <col min="12" max="12" width="15.7109375" style="0" customWidth="1"/>
    <col min="13" max="13" width="15.140625" style="0" customWidth="1"/>
    <col min="14" max="14" width="3.7109375" style="0" customWidth="1"/>
  </cols>
  <sheetData>
    <row r="1" spans="1:20" s="37" customFormat="1" ht="15.75">
      <c r="A1" s="36" t="s">
        <v>12</v>
      </c>
      <c r="E1" s="93" t="s">
        <v>46</v>
      </c>
      <c r="F1" s="93"/>
      <c r="G1" s="93"/>
      <c r="H1" s="93"/>
      <c r="I1" s="93"/>
      <c r="J1" s="94" t="s">
        <v>47</v>
      </c>
      <c r="L1" s="57" t="s">
        <v>43</v>
      </c>
      <c r="M1" s="58"/>
      <c r="N1" s="61"/>
      <c r="P1" s="89" t="s">
        <v>58</v>
      </c>
      <c r="Q1" s="90" t="s">
        <v>59</v>
      </c>
      <c r="R1" s="90"/>
      <c r="S1" s="90"/>
      <c r="T1" s="91"/>
    </row>
    <row r="2" spans="5:14" ht="15.75">
      <c r="E2" s="93"/>
      <c r="F2" s="93"/>
      <c r="G2" s="93"/>
      <c r="H2" s="93"/>
      <c r="I2" s="93"/>
      <c r="J2" s="94"/>
      <c r="L2" s="59" t="s">
        <v>17</v>
      </c>
      <c r="M2" s="71" t="s">
        <v>18</v>
      </c>
      <c r="N2" s="62"/>
    </row>
    <row r="3" spans="12:14" ht="12.75">
      <c r="L3" s="46" t="s">
        <v>33</v>
      </c>
      <c r="M3" s="47">
        <v>2.67</v>
      </c>
      <c r="N3" s="63"/>
    </row>
    <row r="4" spans="2:14" ht="12.75">
      <c r="B4" s="1"/>
      <c r="E4" s="131">
        <f>G4-E8</f>
        <v>18</v>
      </c>
      <c r="F4" s="97" t="s">
        <v>2</v>
      </c>
      <c r="G4" s="98">
        <v>20</v>
      </c>
      <c r="H4" s="8"/>
      <c r="L4" s="46" t="s">
        <v>34</v>
      </c>
      <c r="M4" s="47">
        <v>0.44</v>
      </c>
      <c r="N4" s="63"/>
    </row>
    <row r="5" spans="2:14" ht="12.75">
      <c r="B5" s="7" t="s">
        <v>1</v>
      </c>
      <c r="D5" s="4">
        <v>70</v>
      </c>
      <c r="E5" s="131"/>
      <c r="F5" s="97"/>
      <c r="G5" s="98"/>
      <c r="H5" s="8"/>
      <c r="L5" s="47" t="s">
        <v>19</v>
      </c>
      <c r="M5" s="47">
        <v>0.53</v>
      </c>
      <c r="N5" s="63"/>
    </row>
    <row r="6" spans="5:14" ht="12.75">
      <c r="E6" s="131"/>
      <c r="F6" s="97"/>
      <c r="G6" s="98"/>
      <c r="H6" s="8"/>
      <c r="L6" s="46" t="s">
        <v>31</v>
      </c>
      <c r="M6" s="47">
        <v>2</v>
      </c>
      <c r="N6" s="63"/>
    </row>
    <row r="7" spans="5:14" ht="12.75">
      <c r="E7" s="131"/>
      <c r="F7" s="97"/>
      <c r="G7" s="98"/>
      <c r="H7" s="8"/>
      <c r="J7" s="12"/>
      <c r="K7" s="4"/>
      <c r="L7" s="46" t="s">
        <v>32</v>
      </c>
      <c r="M7" s="47">
        <v>10</v>
      </c>
      <c r="N7" s="63"/>
    </row>
    <row r="8" spans="4:14" ht="12.75">
      <c r="D8" s="11" t="s">
        <v>3</v>
      </c>
      <c r="E8" s="6">
        <v>2</v>
      </c>
      <c r="F8" s="97"/>
      <c r="G8" s="98"/>
      <c r="J8" s="12" t="str">
        <f>IF(J1="LS","LG OF LONG SEAM=",IF(J1="CS","I/D OF SHELL","ERROR"))</f>
        <v>I/D OF SHELL</v>
      </c>
      <c r="K8" s="4">
        <v>1000</v>
      </c>
      <c r="L8" s="65"/>
      <c r="M8" s="65"/>
      <c r="N8" s="64"/>
    </row>
    <row r="9" spans="5:14" ht="12.75">
      <c r="E9" s="2"/>
      <c r="F9" s="5"/>
      <c r="G9" s="8"/>
      <c r="H9" s="8"/>
      <c r="J9" s="12" t="s">
        <v>26</v>
      </c>
      <c r="K9" s="69" t="s">
        <v>27</v>
      </c>
      <c r="L9" s="92" t="s">
        <v>20</v>
      </c>
      <c r="M9" s="92" t="s">
        <v>21</v>
      </c>
      <c r="N9" s="92"/>
    </row>
    <row r="10" spans="2:14" ht="12.75">
      <c r="B10" s="10" t="s">
        <v>5</v>
      </c>
      <c r="D10" s="9">
        <v>3</v>
      </c>
      <c r="E10" s="2"/>
      <c r="F10" s="5"/>
      <c r="G10" s="8"/>
      <c r="H10" s="8"/>
      <c r="L10" s="92"/>
      <c r="M10" s="92"/>
      <c r="N10" s="92"/>
    </row>
    <row r="11" spans="2:14" ht="12.75">
      <c r="B11" s="7"/>
      <c r="C11" s="1"/>
      <c r="D11" s="4"/>
      <c r="J11" s="38" t="s">
        <v>28</v>
      </c>
      <c r="K11" s="41">
        <f>IF(K9="SS",0.000008,IF(K9="STEEL",0.00000785,"ERROR"))</f>
        <v>7.85E-06</v>
      </c>
      <c r="L11" s="46" t="s">
        <v>35</v>
      </c>
      <c r="M11" s="118">
        <v>1</v>
      </c>
      <c r="N11" s="119"/>
    </row>
    <row r="12" spans="12:14" ht="12.75">
      <c r="L12" s="46" t="s">
        <v>36</v>
      </c>
      <c r="M12" s="118">
        <v>1.1</v>
      </c>
      <c r="N12" s="119"/>
    </row>
    <row r="13" spans="12:14" ht="12.75">
      <c r="L13" s="46" t="s">
        <v>37</v>
      </c>
      <c r="M13" s="118">
        <v>1.6</v>
      </c>
      <c r="N13" s="119"/>
    </row>
    <row r="14" spans="6:14" ht="12.75">
      <c r="F14" s="13" t="s">
        <v>6</v>
      </c>
      <c r="H14" s="3"/>
      <c r="L14" s="65"/>
      <c r="M14" s="65"/>
      <c r="N14" s="65"/>
    </row>
    <row r="15" spans="12:14" ht="12.75">
      <c r="L15" s="92" t="s">
        <v>22</v>
      </c>
      <c r="M15" s="92" t="s">
        <v>21</v>
      </c>
      <c r="N15" s="92"/>
    </row>
    <row r="16" spans="4:14" s="18" customFormat="1" ht="12.75">
      <c r="D16" s="19" t="s">
        <v>7</v>
      </c>
      <c r="E16" s="20"/>
      <c r="F16" s="45" t="s">
        <v>8</v>
      </c>
      <c r="G16" s="21"/>
      <c r="H16" s="20"/>
      <c r="I16" s="73"/>
      <c r="J16" s="44"/>
      <c r="L16" s="92"/>
      <c r="M16" s="92"/>
      <c r="N16" s="92"/>
    </row>
    <row r="17" spans="1:14" s="18" customFormat="1" ht="12.75">
      <c r="A17" s="22"/>
      <c r="B17" s="23"/>
      <c r="C17" s="24"/>
      <c r="D17" s="25"/>
      <c r="E17" s="24"/>
      <c r="F17" s="105"/>
      <c r="G17" s="106"/>
      <c r="H17" s="107"/>
      <c r="I17" s="43"/>
      <c r="J17" s="74"/>
      <c r="L17" s="60" t="s">
        <v>29</v>
      </c>
      <c r="M17" s="118">
        <v>1.5</v>
      </c>
      <c r="N17" s="119"/>
    </row>
    <row r="18" spans="1:14" s="18" customFormat="1" ht="12.75">
      <c r="A18" s="25" t="s">
        <v>9</v>
      </c>
      <c r="B18" s="26"/>
      <c r="C18" s="27"/>
      <c r="D18" s="114">
        <f>G4*D10+E4*E4*TAN(RADIANS(D5/2))+(D10+2*E4*TAN(RADIANS(D5/2)))*3</f>
        <v>371.4896565065946</v>
      </c>
      <c r="E18" s="115"/>
      <c r="F18" s="114">
        <f>IF(J1="CS",D18*K11*PI()*(K8+G4),IF(J1="LS",D18*K11*K8,"ERROR"))</f>
        <v>9.344722890356065</v>
      </c>
      <c r="G18" s="120"/>
      <c r="H18" s="115"/>
      <c r="I18" s="28"/>
      <c r="J18" s="29"/>
      <c r="L18" s="60" t="s">
        <v>30</v>
      </c>
      <c r="M18" s="118">
        <v>1</v>
      </c>
      <c r="N18" s="119"/>
    </row>
    <row r="19" spans="1:14" s="18" customFormat="1" ht="12.75">
      <c r="A19" s="30" t="s">
        <v>10</v>
      </c>
      <c r="B19" s="31"/>
      <c r="C19" s="32"/>
      <c r="D19" s="116">
        <f>IF(G4&gt;M22,N22*N22,N21*N21)*PI()/2+IF(G4&gt;M22,N22,N21)*2*3</f>
        <v>92.54866776461628</v>
      </c>
      <c r="E19" s="117"/>
      <c r="F19" s="116">
        <f>IF(J1="CS",D19*K11*PI()*(K8+G4),IF(J1="LS",D19*K11*K8,"ERROR"))</f>
        <v>2.32803696949397</v>
      </c>
      <c r="G19" s="121"/>
      <c r="H19" s="117"/>
      <c r="I19" s="28"/>
      <c r="J19" s="29"/>
      <c r="L19" s="66"/>
      <c r="M19" s="23"/>
      <c r="N19" s="23"/>
    </row>
    <row r="20" spans="1:14" s="18" customFormat="1" ht="12.75">
      <c r="A20" s="33" t="s">
        <v>11</v>
      </c>
      <c r="B20" s="34"/>
      <c r="C20" s="35"/>
      <c r="D20" s="99">
        <f>SUM(D18:E19)</f>
        <v>464.03832427121085</v>
      </c>
      <c r="E20" s="101"/>
      <c r="F20" s="99">
        <f>SUM(F18:G19)</f>
        <v>11.672759859850036</v>
      </c>
      <c r="G20" s="100"/>
      <c r="H20" s="101"/>
      <c r="I20" s="72"/>
      <c r="J20" s="42"/>
      <c r="L20" s="122" t="s">
        <v>44</v>
      </c>
      <c r="M20" s="123"/>
      <c r="N20" s="124"/>
    </row>
    <row r="21" spans="12:14" ht="12.75">
      <c r="L21" s="81" t="s">
        <v>52</v>
      </c>
      <c r="M21" s="79">
        <v>30</v>
      </c>
      <c r="N21" s="70">
        <v>6</v>
      </c>
    </row>
    <row r="22" spans="12:14" ht="12.75">
      <c r="L22" s="81" t="s">
        <v>51</v>
      </c>
      <c r="M22" s="80">
        <f>M21</f>
        <v>30</v>
      </c>
      <c r="N22" s="70">
        <v>12</v>
      </c>
    </row>
    <row r="23" spans="1:12" ht="15.75">
      <c r="A23" s="126" t="str">
        <f>IF(J1="CS","CIRC SEAM",IF(J1="LS","LONG SEAM","C/S OR L/S??"))</f>
        <v>CIRC SEAM</v>
      </c>
      <c r="B23" s="126"/>
      <c r="C23" s="126"/>
      <c r="D23" s="127"/>
      <c r="E23" s="102" t="s">
        <v>17</v>
      </c>
      <c r="F23" s="102"/>
      <c r="G23" s="102" t="s">
        <v>38</v>
      </c>
      <c r="H23" s="102"/>
      <c r="I23" s="102" t="s">
        <v>24</v>
      </c>
      <c r="J23" s="102"/>
      <c r="K23" s="132" t="s">
        <v>25</v>
      </c>
      <c r="L23" s="133"/>
    </row>
    <row r="24" spans="1:12" ht="15.75">
      <c r="A24" s="128"/>
      <c r="B24" s="128"/>
      <c r="C24" s="128"/>
      <c r="D24" s="129"/>
      <c r="E24" s="112" t="s">
        <v>45</v>
      </c>
      <c r="F24" s="113"/>
      <c r="G24" s="112" t="s">
        <v>45</v>
      </c>
      <c r="H24" s="113"/>
      <c r="I24" s="130" t="s">
        <v>39</v>
      </c>
      <c r="J24" s="130"/>
      <c r="K24" s="55" t="s">
        <v>56</v>
      </c>
      <c r="L24" s="55" t="s">
        <v>57</v>
      </c>
    </row>
    <row r="25" spans="1:12" ht="15.75">
      <c r="A25" s="108" t="s">
        <v>40</v>
      </c>
      <c r="B25" s="109"/>
      <c r="C25" s="109"/>
      <c r="D25" s="52">
        <v>0.2</v>
      </c>
      <c r="E25" s="49">
        <v>1</v>
      </c>
      <c r="F25" s="50">
        <f>IF(E25=1,M3,IF(AND(J1="LS",E25=2),M5,IF(AND(J1="CS",E25=2),M4,IF(E25=3,M6,IF(E25=4,M7,"ERROR")))))</f>
        <v>2.67</v>
      </c>
      <c r="G25" s="49">
        <v>1</v>
      </c>
      <c r="H25" s="51">
        <f>IF(G25=1,M11,IF(G25=2,M12,IF(G25=3,M13,"ERROR")))</f>
        <v>1</v>
      </c>
      <c r="I25" s="49" t="s">
        <v>23</v>
      </c>
      <c r="J25" s="50">
        <f>IF(I25="Y",M17,IF(I25="N",M18,"ERROR"))</f>
        <v>1.5</v>
      </c>
      <c r="K25" s="48">
        <f>IF(AND(OR(E25=2,E25=3),G25=1),D25*F18*F25*H25*J25,IF(OR(E25=1,E25=4),D25*F18*F25*H25*J25,"FALSE"))*60</f>
        <v>449.1073821105125</v>
      </c>
      <c r="L25" s="48">
        <f>K25/60</f>
        <v>7.485123035175208</v>
      </c>
    </row>
    <row r="26" spans="1:12" ht="15.75">
      <c r="A26" s="110" t="s">
        <v>41</v>
      </c>
      <c r="B26" s="111"/>
      <c r="C26" s="111"/>
      <c r="D26" s="53">
        <v>0.8</v>
      </c>
      <c r="E26" s="49">
        <v>1</v>
      </c>
      <c r="F26" s="50">
        <f>IF(E26=1,M3,IF(AND(J1="LS",E26=2),M4,IF(AND(J1="CS",E26=2),M3,IF(E26=3,M6,"ERROR"))))</f>
        <v>2.67</v>
      </c>
      <c r="G26" s="49">
        <v>1</v>
      </c>
      <c r="H26" s="51">
        <f>IF(G26=1,M11,IF(G26=2,M12,IF(G26=3,M13,"ERROR")))</f>
        <v>1</v>
      </c>
      <c r="I26" s="49" t="s">
        <v>23</v>
      </c>
      <c r="J26" s="50">
        <f>IF(I26="Y",M17,IF(I26="N",M18,"ERROR"))</f>
        <v>1.5</v>
      </c>
      <c r="K26" s="48">
        <f>IF(AND(OR(E26=2,E26=3),G26=1),D26*F18*F26*H26*J26,IF(OR(E26=1,E26=4),D26*F18*F26*H26*J26,"FALSE"))*60</f>
        <v>1796.42952844205</v>
      </c>
      <c r="L26" s="48">
        <f>K26/60</f>
        <v>29.940492140700833</v>
      </c>
    </row>
    <row r="27" spans="1:12" ht="15.75">
      <c r="A27" s="103" t="s">
        <v>42</v>
      </c>
      <c r="B27" s="104"/>
      <c r="C27" s="104"/>
      <c r="D27" s="54">
        <v>1</v>
      </c>
      <c r="E27" s="49">
        <v>1</v>
      </c>
      <c r="F27" s="50">
        <f>IF(E27=1,M3,IF(AND(J1="LS",E27=2),M5,IF(AND(J1="CS",E27=2),M4,IF(E27=3,M6,"ERROR"))))</f>
        <v>2.67</v>
      </c>
      <c r="G27" s="49">
        <v>1</v>
      </c>
      <c r="H27" s="51">
        <f>IF(G27=1,M11,IF(G27=2,M12,IF(G27=3,M13,"ERROR")))</f>
        <v>1</v>
      </c>
      <c r="I27" s="49" t="s">
        <v>23</v>
      </c>
      <c r="J27" s="50">
        <f>IF(I27="Y",M17,IF(I27="N",M18,"ERROR"))</f>
        <v>1.5</v>
      </c>
      <c r="K27" s="48">
        <f>IF(AND(OR(E27=2,E27=3),G27=1),D27*F19*F27*H27*J27,IF(OR(E27=1,E27=4),D27*F19*F27*H27*J27,"FALSE"))*60</f>
        <v>559.4272837694009</v>
      </c>
      <c r="L27" s="48">
        <f>K27/60</f>
        <v>9.323788062823349</v>
      </c>
    </row>
    <row r="28" spans="1:12" ht="12.75">
      <c r="A28" t="s">
        <v>11</v>
      </c>
      <c r="L28" s="87">
        <f>SUM(L25:L27)</f>
        <v>46.74940323869939</v>
      </c>
    </row>
  </sheetData>
  <sheetProtection password="CC6A" sheet="1" objects="1" scenarios="1"/>
  <mergeCells count="34">
    <mergeCell ref="I24:J24"/>
    <mergeCell ref="I23:J23"/>
    <mergeCell ref="K23:L23"/>
    <mergeCell ref="M13:N13"/>
    <mergeCell ref="L9:L10"/>
    <mergeCell ref="L20:N20"/>
    <mergeCell ref="A26:C26"/>
    <mergeCell ref="A27:C27"/>
    <mergeCell ref="A23:D24"/>
    <mergeCell ref="E24:F24"/>
    <mergeCell ref="A25:C25"/>
    <mergeCell ref="G24:H24"/>
    <mergeCell ref="J1:J2"/>
    <mergeCell ref="D18:E18"/>
    <mergeCell ref="M12:N12"/>
    <mergeCell ref="E23:F23"/>
    <mergeCell ref="G23:H23"/>
    <mergeCell ref="F20:H20"/>
    <mergeCell ref="D20:E20"/>
    <mergeCell ref="D19:E19"/>
    <mergeCell ref="F19:H19"/>
    <mergeCell ref="M18:N18"/>
    <mergeCell ref="F4:F8"/>
    <mergeCell ref="G4:G8"/>
    <mergeCell ref="E4:E7"/>
    <mergeCell ref="F18:H18"/>
    <mergeCell ref="F17:H17"/>
    <mergeCell ref="E1:I2"/>
    <mergeCell ref="Q1:T1"/>
    <mergeCell ref="L15:L16"/>
    <mergeCell ref="M15:N16"/>
    <mergeCell ref="M17:N17"/>
    <mergeCell ref="M9:N10"/>
    <mergeCell ref="M11:N11"/>
  </mergeCells>
  <hyperlinks>
    <hyperlink ref="Q1" r:id="rId1" display="http://www.pvtools.weebly.com/"/>
  </hyperlinks>
  <printOptions/>
  <pageMargins left="0.75" right="0.75" top="1" bottom="1" header="0.71" footer="0.5"/>
  <pageSetup horizontalDpi="300" verticalDpi="300" orientation="landscape" r:id="rId3"/>
  <headerFooter alignWithMargins="0">
    <oddHeader>&amp;C&amp;"Arial,Bold"&amp;16LONG SEAM/CIRC SEAM WELD KG &amp;&amp; RUN TIME ESTIMATION</oddHeader>
    <oddFooter>&amp;L&amp;F&amp;C&amp;D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="75" zoomScaleNormal="75" zoomScalePageLayoutView="0" workbookViewId="0" topLeftCell="A1">
      <selection activeCell="O33" sqref="O33"/>
    </sheetView>
  </sheetViews>
  <sheetFormatPr defaultColWidth="9.140625" defaultRowHeight="12.75"/>
  <cols>
    <col min="3" max="3" width="1.28515625" style="0" customWidth="1"/>
    <col min="4" max="4" width="8.7109375" style="0" customWidth="1"/>
    <col min="6" max="6" width="5.28125" style="0" customWidth="1"/>
    <col min="7" max="7" width="8.140625" style="0" customWidth="1"/>
    <col min="8" max="8" width="3.57421875" style="0" customWidth="1"/>
    <col min="11" max="11" width="11.00390625" style="0" customWidth="1"/>
    <col min="12" max="12" width="12.7109375" style="0" customWidth="1"/>
    <col min="13" max="13" width="13.00390625" style="0" customWidth="1"/>
    <col min="14" max="14" width="7.28125" style="0" customWidth="1"/>
  </cols>
  <sheetData>
    <row r="1" spans="1:20" s="37" customFormat="1" ht="15.75">
      <c r="A1" s="36" t="s">
        <v>13</v>
      </c>
      <c r="E1" s="93" t="s">
        <v>46</v>
      </c>
      <c r="F1" s="93"/>
      <c r="G1" s="93"/>
      <c r="H1" s="93"/>
      <c r="I1" s="93"/>
      <c r="J1" s="94" t="s">
        <v>47</v>
      </c>
      <c r="L1" s="57" t="s">
        <v>43</v>
      </c>
      <c r="M1" s="58"/>
      <c r="N1" s="61"/>
      <c r="P1" s="89" t="s">
        <v>58</v>
      </c>
      <c r="Q1" s="90" t="s">
        <v>59</v>
      </c>
      <c r="R1" s="90"/>
      <c r="S1" s="90"/>
      <c r="T1" s="91"/>
    </row>
    <row r="2" spans="1:14" ht="15.75">
      <c r="A2" s="14"/>
      <c r="E2" s="93"/>
      <c r="F2" s="93"/>
      <c r="G2" s="93"/>
      <c r="H2" s="93"/>
      <c r="I2" s="93"/>
      <c r="J2" s="94"/>
      <c r="L2" s="59" t="s">
        <v>17</v>
      </c>
      <c r="M2" s="71" t="s">
        <v>18</v>
      </c>
      <c r="N2" s="62"/>
    </row>
    <row r="3" spans="1:14" ht="12.75">
      <c r="A3" s="14"/>
      <c r="B3" s="7" t="s">
        <v>4</v>
      </c>
      <c r="D3" s="4">
        <v>10</v>
      </c>
      <c r="E3" s="96">
        <f>G3-E11-E8</f>
        <v>56</v>
      </c>
      <c r="F3" s="97" t="s">
        <v>2</v>
      </c>
      <c r="G3" s="98">
        <v>70</v>
      </c>
      <c r="L3" s="46" t="s">
        <v>33</v>
      </c>
      <c r="M3" s="47">
        <v>2.67</v>
      </c>
      <c r="N3" s="63"/>
    </row>
    <row r="4" spans="1:14" ht="12.75">
      <c r="A4" s="14"/>
      <c r="E4" s="96"/>
      <c r="F4" s="97"/>
      <c r="G4" s="98"/>
      <c r="L4" s="46" t="s">
        <v>34</v>
      </c>
      <c r="M4" s="47">
        <v>0.44</v>
      </c>
      <c r="N4" s="63"/>
    </row>
    <row r="5" spans="5:14" ht="12.75">
      <c r="E5" s="96"/>
      <c r="F5" s="97"/>
      <c r="G5" s="98"/>
      <c r="L5" s="47" t="s">
        <v>19</v>
      </c>
      <c r="M5" s="47">
        <v>0.53</v>
      </c>
      <c r="N5" s="63"/>
    </row>
    <row r="6" spans="5:14" ht="12.75">
      <c r="E6" s="96"/>
      <c r="F6" s="97"/>
      <c r="G6" s="98"/>
      <c r="L6" s="46" t="s">
        <v>31</v>
      </c>
      <c r="M6" s="47">
        <v>2</v>
      </c>
      <c r="N6" s="63"/>
    </row>
    <row r="7" spans="2:14" ht="12.75">
      <c r="B7" s="7" t="s">
        <v>1</v>
      </c>
      <c r="D7" s="4">
        <v>45</v>
      </c>
      <c r="E7" s="96"/>
      <c r="F7" s="97"/>
      <c r="G7" s="98"/>
      <c r="H7" s="8"/>
      <c r="J7" s="12"/>
      <c r="K7" s="4"/>
      <c r="L7" s="46" t="s">
        <v>32</v>
      </c>
      <c r="M7" s="47">
        <v>10</v>
      </c>
      <c r="N7" s="63"/>
    </row>
    <row r="8" spans="5:14" ht="12.75">
      <c r="E8" s="134">
        <v>12</v>
      </c>
      <c r="F8" s="97"/>
      <c r="G8" s="98"/>
      <c r="J8" s="12" t="str">
        <f>IF(J1="LS","LG OF LONG SEAM=",IF(J1="CS","I/D OF SHELL","ERROR"))</f>
        <v>I/D OF SHELL</v>
      </c>
      <c r="K8" s="4">
        <v>2600</v>
      </c>
      <c r="L8" s="65"/>
      <c r="M8" s="65"/>
      <c r="N8" s="64"/>
    </row>
    <row r="9" spans="5:14" ht="12.75">
      <c r="E9" s="134"/>
      <c r="F9" s="97"/>
      <c r="G9" s="98"/>
      <c r="H9" s="8"/>
      <c r="J9" s="12" t="s">
        <v>26</v>
      </c>
      <c r="K9" s="69" t="s">
        <v>27</v>
      </c>
      <c r="L9" s="92" t="s">
        <v>20</v>
      </c>
      <c r="M9" s="92" t="s">
        <v>21</v>
      </c>
      <c r="N9" s="92"/>
    </row>
    <row r="10" spans="5:14" ht="12.75">
      <c r="E10" s="134"/>
      <c r="F10" s="97"/>
      <c r="G10" s="98"/>
      <c r="H10" s="8"/>
      <c r="L10" s="92"/>
      <c r="M10" s="92"/>
      <c r="N10" s="92"/>
    </row>
    <row r="11" spans="4:14" ht="12.75">
      <c r="D11" s="11" t="s">
        <v>3</v>
      </c>
      <c r="E11" s="6">
        <v>2</v>
      </c>
      <c r="F11" s="97"/>
      <c r="G11" s="98"/>
      <c r="H11" s="8"/>
      <c r="J11" s="38" t="s">
        <v>28</v>
      </c>
      <c r="K11" s="41">
        <f>IF(K9="SS",0.000008,IF(K9="STEEL",0.00000785,"ERROR"))</f>
        <v>7.85E-06</v>
      </c>
      <c r="L11" s="46" t="s">
        <v>35</v>
      </c>
      <c r="M11" s="118">
        <v>1</v>
      </c>
      <c r="N11" s="119"/>
    </row>
    <row r="12" spans="5:14" ht="12.75">
      <c r="E12" s="2"/>
      <c r="F12" s="5"/>
      <c r="G12" s="8"/>
      <c r="H12" s="8"/>
      <c r="L12" s="46" t="s">
        <v>36</v>
      </c>
      <c r="M12" s="118">
        <v>1.1</v>
      </c>
      <c r="N12" s="119"/>
    </row>
    <row r="13" spans="2:14" ht="12.75">
      <c r="B13" s="10" t="s">
        <v>5</v>
      </c>
      <c r="D13" s="9">
        <v>3</v>
      </c>
      <c r="E13" s="2"/>
      <c r="F13" s="5"/>
      <c r="G13" s="8" t="s">
        <v>49</v>
      </c>
      <c r="H13" s="8"/>
      <c r="L13" s="46" t="s">
        <v>37</v>
      </c>
      <c r="M13" s="118">
        <v>1.6</v>
      </c>
      <c r="N13" s="119"/>
    </row>
    <row r="14" spans="2:14" ht="12.75">
      <c r="B14" s="7"/>
      <c r="C14" s="1"/>
      <c r="D14" s="4"/>
      <c r="F14" s="13" t="s">
        <v>6</v>
      </c>
      <c r="L14" s="65"/>
      <c r="M14" s="65"/>
      <c r="N14" s="65"/>
    </row>
    <row r="15" spans="12:14" ht="12.75">
      <c r="L15" s="92" t="s">
        <v>22</v>
      </c>
      <c r="M15" s="92" t="s">
        <v>21</v>
      </c>
      <c r="N15" s="92"/>
    </row>
    <row r="16" spans="4:14" s="18" customFormat="1" ht="12.75">
      <c r="D16" s="19" t="s">
        <v>7</v>
      </c>
      <c r="E16" s="20"/>
      <c r="F16" s="45" t="s">
        <v>8</v>
      </c>
      <c r="G16" s="21"/>
      <c r="H16" s="20"/>
      <c r="I16" s="73"/>
      <c r="J16" s="44"/>
      <c r="L16" s="92"/>
      <c r="M16" s="92"/>
      <c r="N16" s="92"/>
    </row>
    <row r="17" spans="1:14" s="18" customFormat="1" ht="12.75">
      <c r="A17" s="22"/>
      <c r="B17" s="23"/>
      <c r="C17" s="24"/>
      <c r="D17" s="22"/>
      <c r="E17" s="24"/>
      <c r="F17" s="105"/>
      <c r="G17" s="106"/>
      <c r="H17" s="107"/>
      <c r="I17" s="43"/>
      <c r="J17" s="74"/>
      <c r="L17" s="60" t="s">
        <v>29</v>
      </c>
      <c r="M17" s="118">
        <v>1.5</v>
      </c>
      <c r="N17" s="119"/>
    </row>
    <row r="18" spans="1:14" s="18" customFormat="1" ht="12.75">
      <c r="A18" s="25" t="s">
        <v>9</v>
      </c>
      <c r="B18" s="26"/>
      <c r="C18" s="27"/>
      <c r="D18" s="114">
        <f>G3*D13+E8*E8*TAN(RADIANS(D7/2))+E8*TAN(RADIANS(D7/2))*2*E3+E3*E3*TAN(RADIANS(D3/2))+(D13+E8*TAN(RADIANS(D7/2))*2+E3*TAN(RADIANS(D3/2))*2)*3</f>
        <v>1168.9337970640363</v>
      </c>
      <c r="E18" s="115"/>
      <c r="F18" s="114">
        <f>IF(J1="CS",D18*K11*PI()*(K8+G3),IF(J1="LS",D18*K11*K8,"ERROR"))</f>
        <v>76.9698617070829</v>
      </c>
      <c r="G18" s="120"/>
      <c r="H18" s="115"/>
      <c r="I18" s="28"/>
      <c r="J18" s="29"/>
      <c r="L18" s="60" t="s">
        <v>30</v>
      </c>
      <c r="M18" s="118">
        <v>1</v>
      </c>
      <c r="N18" s="119"/>
    </row>
    <row r="19" spans="1:14" s="18" customFormat="1" ht="12.75">
      <c r="A19" s="30" t="s">
        <v>10</v>
      </c>
      <c r="B19" s="31"/>
      <c r="C19" s="32"/>
      <c r="D19" s="116">
        <f>IF(G3&gt;M22,N21*N22,N21*N21)*PI()/2+IF(G3&gt;M22,N22,N21)*2*3</f>
        <v>185.09733552923257</v>
      </c>
      <c r="E19" s="117"/>
      <c r="F19" s="116">
        <f>IF(J1="CS",D19*K11*PI()*(K8+G3),IF(J1="LS",D19*K11*K8,"ERROR"))</f>
        <v>12.187958252056665</v>
      </c>
      <c r="G19" s="121"/>
      <c r="H19" s="121"/>
      <c r="I19" s="28"/>
      <c r="J19" s="29"/>
      <c r="L19" s="23"/>
      <c r="M19" s="23"/>
      <c r="N19" s="23"/>
    </row>
    <row r="20" spans="1:14" s="18" customFormat="1" ht="12.75">
      <c r="A20" s="33" t="s">
        <v>11</v>
      </c>
      <c r="B20" s="34"/>
      <c r="C20" s="35"/>
      <c r="D20" s="99">
        <f>SUM(D18:E19)</f>
        <v>1354.031132593269</v>
      </c>
      <c r="E20" s="101"/>
      <c r="F20" s="99">
        <f>SUM(F18:G19)</f>
        <v>89.15781995913956</v>
      </c>
      <c r="G20" s="100"/>
      <c r="H20" s="100"/>
      <c r="I20" s="72"/>
      <c r="J20" s="42"/>
      <c r="L20" s="122" t="s">
        <v>44</v>
      </c>
      <c r="M20" s="123"/>
      <c r="N20" s="124"/>
    </row>
    <row r="21" spans="12:14" ht="12.75">
      <c r="L21" s="81" t="s">
        <v>50</v>
      </c>
      <c r="M21" s="79">
        <v>30</v>
      </c>
      <c r="N21" s="70">
        <v>6</v>
      </c>
    </row>
    <row r="22" spans="12:14" ht="12.75">
      <c r="L22" s="81" t="s">
        <v>51</v>
      </c>
      <c r="M22" s="80">
        <f>M21</f>
        <v>30</v>
      </c>
      <c r="N22" s="70">
        <v>12</v>
      </c>
    </row>
    <row r="23" spans="1:11" ht="15.75">
      <c r="A23" s="126" t="str">
        <f>IF(J1="CS","CIRC SEAM",IF(J1="LS","LONG SEAM","C/S OR L/S??"))</f>
        <v>CIRC SEAM</v>
      </c>
      <c r="B23" s="126"/>
      <c r="C23" s="126"/>
      <c r="D23" s="127"/>
      <c r="E23" s="102" t="s">
        <v>17</v>
      </c>
      <c r="F23" s="102"/>
      <c r="G23" s="102" t="s">
        <v>38</v>
      </c>
      <c r="H23" s="102"/>
      <c r="I23" s="102" t="s">
        <v>24</v>
      </c>
      <c r="J23" s="102"/>
      <c r="K23" s="56" t="s">
        <v>25</v>
      </c>
    </row>
    <row r="24" spans="1:11" ht="15.75">
      <c r="A24" s="128"/>
      <c r="B24" s="128"/>
      <c r="C24" s="128"/>
      <c r="D24" s="129"/>
      <c r="E24" s="112" t="s">
        <v>45</v>
      </c>
      <c r="F24" s="113"/>
      <c r="G24" s="112" t="s">
        <v>45</v>
      </c>
      <c r="H24" s="113"/>
      <c r="I24" s="130" t="s">
        <v>39</v>
      </c>
      <c r="J24" s="130"/>
      <c r="K24" s="55" t="s">
        <v>56</v>
      </c>
    </row>
    <row r="25" spans="1:11" ht="15.75">
      <c r="A25" s="108" t="s">
        <v>40</v>
      </c>
      <c r="B25" s="109"/>
      <c r="C25" s="109"/>
      <c r="D25" s="52">
        <v>0.2</v>
      </c>
      <c r="E25" s="49">
        <v>1</v>
      </c>
      <c r="F25" s="50">
        <f>IF(E25=1,M3,IF(AND(J1="LS",E25=2),M5,IF(AND(J1="CS",E25=2),M4,IF(E25=3,M6,IF(E25=4,M7,"ERROR")))))</f>
        <v>2.67</v>
      </c>
      <c r="G25" s="49">
        <v>1</v>
      </c>
      <c r="H25" s="51">
        <f>IF(G25=1,M11,IF(G25=2,M12,IF(G25=3,M13,"ERROR")))</f>
        <v>1</v>
      </c>
      <c r="I25" s="49" t="s">
        <v>23</v>
      </c>
      <c r="J25" s="50">
        <f>IF(I25="Y",M17,IF(I25="N",M18,"ERROR"))</f>
        <v>1.5</v>
      </c>
      <c r="K25" s="48">
        <f>IF(AND(OR(E25=2,E25=3),G25=1),D25*F18*F25*H25*J25,IF(OR(E25=1,E25=4),D25*F18*F25*H25*J25,"FALSE"))*60</f>
        <v>3699.1715536424044</v>
      </c>
    </row>
    <row r="26" spans="1:11" ht="15.75">
      <c r="A26" s="110" t="s">
        <v>41</v>
      </c>
      <c r="B26" s="111"/>
      <c r="C26" s="111"/>
      <c r="D26" s="53">
        <v>0.8</v>
      </c>
      <c r="E26" s="49">
        <v>2</v>
      </c>
      <c r="F26" s="50">
        <f>IF(E26=1,M3,IF(AND(J1="LS",E26=2),M5,IF(AND(J1="CS",E26=2),M4,IF(E26=3,M6,"ERROR"))))</f>
        <v>0.44</v>
      </c>
      <c r="G26" s="49">
        <v>1</v>
      </c>
      <c r="H26" s="51">
        <f>IF(G26=1,M11,IF(G26=2,M12,IF(G26=3,M13,"ERROR")))</f>
        <v>1</v>
      </c>
      <c r="I26" s="49" t="s">
        <v>23</v>
      </c>
      <c r="J26" s="50">
        <f>IF(I26="Y",M17,IF(I26="N",M18,"ERROR"))</f>
        <v>1.5</v>
      </c>
      <c r="K26" s="48">
        <f>IF(AND(OR(E26=2,E26=3),G26=1),D26*F18*F26*H26*J26,IF(OR(E26=1,E26=4),D26*F18*F26*H26*J26,"FALSE"))*60</f>
        <v>2438.4052188803867</v>
      </c>
    </row>
    <row r="27" spans="1:11" ht="15.75">
      <c r="A27" s="103" t="s">
        <v>42</v>
      </c>
      <c r="B27" s="104"/>
      <c r="C27" s="104"/>
      <c r="D27" s="54">
        <v>1</v>
      </c>
      <c r="E27" s="49">
        <v>2</v>
      </c>
      <c r="F27" s="50">
        <f>IF(E27=1,M3,IF(AND(J1="LS",E27=2),M5,IF(AND(J1="CS",E27=2),M4,IF(E27=3,M6,"ERROR"))))</f>
        <v>0.44</v>
      </c>
      <c r="G27" s="49">
        <v>1</v>
      </c>
      <c r="H27" s="51">
        <f>IF(G27=1,M11,IF(G27=2,M12,IF(G27=3,M13,"ERROR")))</f>
        <v>1</v>
      </c>
      <c r="I27" s="49" t="s">
        <v>23</v>
      </c>
      <c r="J27" s="50">
        <f>IF(I27="Y",M17,IF(I27="N",M18,"ERROR"))</f>
        <v>1.5</v>
      </c>
      <c r="K27" s="48">
        <f>IF(AND(OR(E27=2,E27=3),G27=1),D27*F19*F27*H27*J27,IF(OR(E27=1,E27=4),D27*F19*F27*H27*J27,"FALSE"))*60</f>
        <v>482.643146781444</v>
      </c>
    </row>
  </sheetData>
  <sheetProtection password="CC6A" sheet="1" objects="1" scenarios="1"/>
  <mergeCells count="34">
    <mergeCell ref="G3:G11"/>
    <mergeCell ref="E3:E7"/>
    <mergeCell ref="E8:E10"/>
    <mergeCell ref="M11:N11"/>
    <mergeCell ref="E23:F23"/>
    <mergeCell ref="G23:H23"/>
    <mergeCell ref="M17:N17"/>
    <mergeCell ref="M18:N18"/>
    <mergeCell ref="I23:J23"/>
    <mergeCell ref="E1:I2"/>
    <mergeCell ref="J1:J2"/>
    <mergeCell ref="L9:L10"/>
    <mergeCell ref="M9:N10"/>
    <mergeCell ref="F3:F11"/>
    <mergeCell ref="G24:H24"/>
    <mergeCell ref="I24:J24"/>
    <mergeCell ref="L20:N20"/>
    <mergeCell ref="A25:C25"/>
    <mergeCell ref="A26:C26"/>
    <mergeCell ref="M12:N12"/>
    <mergeCell ref="M13:N13"/>
    <mergeCell ref="L15:L16"/>
    <mergeCell ref="M15:N16"/>
    <mergeCell ref="A23:D24"/>
    <mergeCell ref="Q1:T1"/>
    <mergeCell ref="A27:C27"/>
    <mergeCell ref="F17:H17"/>
    <mergeCell ref="F18:H18"/>
    <mergeCell ref="D18:E18"/>
    <mergeCell ref="D19:E19"/>
    <mergeCell ref="D20:E20"/>
    <mergeCell ref="F19:H19"/>
    <mergeCell ref="F20:H20"/>
    <mergeCell ref="E24:F24"/>
  </mergeCells>
  <hyperlinks>
    <hyperlink ref="Q1" r:id="rId1" display="http://www.pvtools.weebly.com/"/>
  </hyperlinks>
  <printOptions/>
  <pageMargins left="0.75" right="0.75" top="1" bottom="1" header="0.5" footer="0.5"/>
  <pageSetup horizontalDpi="120" verticalDpi="120" orientation="landscape" r:id="rId3"/>
  <headerFooter alignWithMargins="0">
    <oddHeader>&amp;C&amp;"Arial,Bold"&amp;16LONG SEAM/CIRC SEAM WELD KG &amp;&amp; RUN TIME ESTIMATION</oddHeader>
    <oddFooter>&amp;L&amp;F&amp;C&amp;D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75" zoomScaleNormal="75" zoomScalePageLayoutView="0" workbookViewId="0" topLeftCell="A1">
      <selection activeCell="P1" sqref="P1:T1"/>
    </sheetView>
  </sheetViews>
  <sheetFormatPr defaultColWidth="9.140625" defaultRowHeight="12.75"/>
  <cols>
    <col min="3" max="3" width="3.7109375" style="0" customWidth="1"/>
    <col min="4" max="4" width="8.7109375" style="0" customWidth="1"/>
    <col min="5" max="5" width="9.7109375" style="0" customWidth="1"/>
    <col min="6" max="6" width="5.28125" style="0" customWidth="1"/>
    <col min="7" max="7" width="8.140625" style="0" customWidth="1"/>
    <col min="8" max="8" width="4.140625" style="0" customWidth="1"/>
    <col min="11" max="11" width="11.421875" style="0" customWidth="1"/>
    <col min="12" max="12" width="13.421875" style="0" customWidth="1"/>
    <col min="13" max="13" width="12.57421875" style="0" customWidth="1"/>
    <col min="14" max="14" width="7.28125" style="0" customWidth="1"/>
  </cols>
  <sheetData>
    <row r="1" spans="1:20" s="37" customFormat="1" ht="15.75">
      <c r="A1" s="36" t="s">
        <v>14</v>
      </c>
      <c r="E1" s="93" t="s">
        <v>46</v>
      </c>
      <c r="F1" s="93"/>
      <c r="G1" s="93"/>
      <c r="H1" s="93"/>
      <c r="I1" s="93"/>
      <c r="J1" s="94" t="s">
        <v>54</v>
      </c>
      <c r="L1" s="57" t="s">
        <v>43</v>
      </c>
      <c r="M1" s="58"/>
      <c r="N1" s="61"/>
      <c r="P1" s="89" t="s">
        <v>58</v>
      </c>
      <c r="Q1" s="90" t="s">
        <v>59</v>
      </c>
      <c r="R1" s="90"/>
      <c r="S1" s="90"/>
      <c r="T1" s="91"/>
    </row>
    <row r="2" spans="5:14" ht="15.75">
      <c r="E2" s="93"/>
      <c r="F2" s="93"/>
      <c r="G2" s="93"/>
      <c r="H2" s="93"/>
      <c r="I2" s="93"/>
      <c r="J2" s="94"/>
      <c r="L2" s="59" t="s">
        <v>17</v>
      </c>
      <c r="M2" s="71" t="s">
        <v>18</v>
      </c>
      <c r="N2" s="62"/>
    </row>
    <row r="3" spans="3:14" ht="12.75">
      <c r="C3" s="7" t="s">
        <v>1</v>
      </c>
      <c r="D3" s="4">
        <v>2</v>
      </c>
      <c r="L3" s="46" t="s">
        <v>33</v>
      </c>
      <c r="M3" s="47">
        <v>2.67</v>
      </c>
      <c r="N3" s="63"/>
    </row>
    <row r="4" spans="2:14" ht="12.75">
      <c r="B4" s="1"/>
      <c r="E4" s="97" t="s">
        <v>2</v>
      </c>
      <c r="F4" s="98">
        <v>70</v>
      </c>
      <c r="H4" s="8"/>
      <c r="L4" s="46" t="s">
        <v>34</v>
      </c>
      <c r="M4" s="47">
        <v>0.44</v>
      </c>
      <c r="N4" s="63"/>
    </row>
    <row r="5" spans="5:14" ht="12.75">
      <c r="E5" s="97"/>
      <c r="F5" s="98"/>
      <c r="H5" s="8"/>
      <c r="L5" s="47" t="s">
        <v>19</v>
      </c>
      <c r="M5" s="47">
        <v>0.53</v>
      </c>
      <c r="N5" s="63"/>
    </row>
    <row r="6" spans="5:14" ht="12.75">
      <c r="E6" s="97"/>
      <c r="F6" s="98"/>
      <c r="H6" s="8"/>
      <c r="L6" s="46" t="s">
        <v>31</v>
      </c>
      <c r="M6" s="47">
        <v>2</v>
      </c>
      <c r="N6" s="63"/>
    </row>
    <row r="7" spans="5:14" ht="12.75">
      <c r="E7" s="97"/>
      <c r="F7" s="98"/>
      <c r="H7" s="8"/>
      <c r="J7" s="12"/>
      <c r="K7" s="4"/>
      <c r="L7" s="82"/>
      <c r="M7" s="83"/>
      <c r="N7" s="67"/>
    </row>
    <row r="8" spans="4:14" ht="12.75">
      <c r="D8" s="11"/>
      <c r="E8" s="15"/>
      <c r="F8" s="8"/>
      <c r="J8" s="12" t="str">
        <f>IF(J1="LS","LG OF LONG SEAM=",IF(J1="CS","I/D OF SHELL","ERROR"))</f>
        <v>LG OF LONG SEAM=</v>
      </c>
      <c r="K8" s="4">
        <v>2600</v>
      </c>
      <c r="L8" s="64"/>
      <c r="M8" s="64"/>
      <c r="N8" s="64"/>
    </row>
    <row r="9" spans="3:14" ht="12.75">
      <c r="C9" s="17" t="s">
        <v>5</v>
      </c>
      <c r="E9" s="2"/>
      <c r="F9" s="5"/>
      <c r="G9" s="8"/>
      <c r="H9" s="8"/>
      <c r="J9" s="12" t="s">
        <v>48</v>
      </c>
      <c r="K9" s="69" t="s">
        <v>27</v>
      </c>
      <c r="L9" s="92" t="s">
        <v>20</v>
      </c>
      <c r="M9" s="92" t="s">
        <v>21</v>
      </c>
      <c r="N9" s="92"/>
    </row>
    <row r="10" spans="3:14" ht="12.75">
      <c r="C10" s="16">
        <v>18</v>
      </c>
      <c r="E10" s="2"/>
      <c r="F10" s="5"/>
      <c r="G10" s="8"/>
      <c r="H10" s="8"/>
      <c r="L10" s="92"/>
      <c r="M10" s="92"/>
      <c r="N10" s="92"/>
    </row>
    <row r="11" spans="2:14" ht="12.75">
      <c r="B11" s="7"/>
      <c r="C11" s="1"/>
      <c r="D11" s="4"/>
      <c r="H11" s="8"/>
      <c r="J11" s="38" t="s">
        <v>28</v>
      </c>
      <c r="K11" s="41">
        <f>IF(K9="SS",0.000008,IF(K9="STEEL",0.00000785,"ERROR"))</f>
        <v>7.85E-06</v>
      </c>
      <c r="L11" s="46" t="s">
        <v>35</v>
      </c>
      <c r="M11" s="118">
        <v>1</v>
      </c>
      <c r="N11" s="119"/>
    </row>
    <row r="12" spans="12:14" ht="12.75">
      <c r="L12" s="46" t="s">
        <v>36</v>
      </c>
      <c r="M12" s="118">
        <v>1.1</v>
      </c>
      <c r="N12" s="119"/>
    </row>
    <row r="13" spans="12:14" ht="12.75">
      <c r="L13" s="46" t="s">
        <v>37</v>
      </c>
      <c r="M13" s="118">
        <v>1.6</v>
      </c>
      <c r="N13" s="119"/>
    </row>
    <row r="14" spans="6:14" ht="12.75">
      <c r="F14" s="13" t="s">
        <v>6</v>
      </c>
      <c r="H14" s="3"/>
      <c r="L14" s="65"/>
      <c r="M14" s="65"/>
      <c r="N14" s="65"/>
    </row>
    <row r="15" spans="12:14" ht="12.75">
      <c r="L15" s="92" t="s">
        <v>22</v>
      </c>
      <c r="M15" s="92" t="s">
        <v>21</v>
      </c>
      <c r="N15" s="92"/>
    </row>
    <row r="16" spans="4:14" s="18" customFormat="1" ht="12.75">
      <c r="D16" s="135" t="s">
        <v>7</v>
      </c>
      <c r="E16" s="137"/>
      <c r="F16" s="135" t="s">
        <v>8</v>
      </c>
      <c r="G16" s="136"/>
      <c r="H16" s="137"/>
      <c r="I16" s="73"/>
      <c r="J16" s="44"/>
      <c r="L16" s="92"/>
      <c r="M16" s="92"/>
      <c r="N16" s="92"/>
    </row>
    <row r="17" spans="1:14" s="18" customFormat="1" ht="12.75">
      <c r="A17" s="22"/>
      <c r="B17" s="23"/>
      <c r="C17" s="24"/>
      <c r="D17" s="22"/>
      <c r="E17" s="24"/>
      <c r="F17" s="105"/>
      <c r="G17" s="106"/>
      <c r="H17" s="107"/>
      <c r="I17" s="43"/>
      <c r="J17" s="74"/>
      <c r="L17" s="60" t="s">
        <v>29</v>
      </c>
      <c r="M17" s="118">
        <v>1.5</v>
      </c>
      <c r="N17" s="119"/>
    </row>
    <row r="18" spans="1:14" s="18" customFormat="1" ht="12.75">
      <c r="A18" s="25" t="s">
        <v>9</v>
      </c>
      <c r="B18" s="26"/>
      <c r="C18" s="27"/>
      <c r="D18" s="114">
        <f>F4*F4*TAN(RADIANS(D3/2))+F4*C10+(C10+F4*TAN(RADIANS(D3/2))*2)*3</f>
        <v>1406.8609454181176</v>
      </c>
      <c r="E18" s="115"/>
      <c r="F18" s="114">
        <f>IF(J1="CS",D18*K11*PI()*(K8+F4),IF(J1="LS",D18*K11*K8,"ERROR"))</f>
        <v>28.71403189598378</v>
      </c>
      <c r="G18" s="120"/>
      <c r="H18" s="115"/>
      <c r="I18" s="28"/>
      <c r="J18" s="29"/>
      <c r="L18" s="60" t="s">
        <v>30</v>
      </c>
      <c r="M18" s="118">
        <v>1</v>
      </c>
      <c r="N18" s="119"/>
    </row>
    <row r="19" spans="1:14" s="18" customFormat="1" ht="12.75">
      <c r="A19" s="30" t="s">
        <v>10</v>
      </c>
      <c r="B19" s="31"/>
      <c r="C19" s="32"/>
      <c r="D19" s="116">
        <f>IF(F4&gt;N22,M22*M22,M21*M21)*PI()/2+IF(F4&gt;N22,M22,M21)*2*3</f>
        <v>1593.7166941154069</v>
      </c>
      <c r="E19" s="117"/>
      <c r="F19" s="116">
        <f>IF(J1="CS",D19*K11*PI()*(K8+F4),IF(J1="LS",D19*K11*K8,"ERROR"))</f>
        <v>32.52775772689545</v>
      </c>
      <c r="G19" s="121"/>
      <c r="H19" s="117"/>
      <c r="I19" s="72"/>
      <c r="J19" s="42"/>
      <c r="L19" s="66"/>
      <c r="M19" s="23"/>
      <c r="N19" s="23"/>
    </row>
    <row r="20" spans="1:14" ht="12.75">
      <c r="A20" s="33" t="s">
        <v>11</v>
      </c>
      <c r="B20" s="34"/>
      <c r="C20" s="35"/>
      <c r="D20" s="99">
        <f>SUM(D18:E18)</f>
        <v>1406.8609454181176</v>
      </c>
      <c r="E20" s="101"/>
      <c r="F20" s="99">
        <f>SUM(F18:G18)</f>
        <v>28.71403189598378</v>
      </c>
      <c r="G20" s="100"/>
      <c r="H20" s="101"/>
      <c r="L20" s="122" t="s">
        <v>44</v>
      </c>
      <c r="M20" s="123"/>
      <c r="N20" s="124"/>
    </row>
    <row r="21" spans="12:14" ht="12.75">
      <c r="L21" s="81" t="s">
        <v>50</v>
      </c>
      <c r="M21" s="79">
        <v>30</v>
      </c>
      <c r="N21" s="70">
        <v>6</v>
      </c>
    </row>
    <row r="22" spans="12:14" ht="12.75">
      <c r="L22" s="81" t="s">
        <v>51</v>
      </c>
      <c r="M22" s="80">
        <f>M21</f>
        <v>30</v>
      </c>
      <c r="N22" s="70">
        <v>12</v>
      </c>
    </row>
    <row r="23" spans="1:11" ht="15.75">
      <c r="A23" s="126" t="str">
        <f>IF(J1="CS","CIRC SEAM",IF(J1="LS","LONG SEAM","C/S OR L/S??"))</f>
        <v>LONG SEAM</v>
      </c>
      <c r="B23" s="126"/>
      <c r="C23" s="126"/>
      <c r="D23" s="127"/>
      <c r="E23" s="102" t="s">
        <v>17</v>
      </c>
      <c r="F23" s="102"/>
      <c r="G23" s="102" t="s">
        <v>38</v>
      </c>
      <c r="H23" s="102"/>
      <c r="I23" s="102" t="s">
        <v>24</v>
      </c>
      <c r="J23" s="102"/>
      <c r="K23" s="56" t="s">
        <v>25</v>
      </c>
    </row>
    <row r="24" spans="1:11" ht="15.75">
      <c r="A24" s="128"/>
      <c r="B24" s="128"/>
      <c r="C24" s="128"/>
      <c r="D24" s="129"/>
      <c r="E24" s="112" t="s">
        <v>45</v>
      </c>
      <c r="F24" s="113"/>
      <c r="G24" s="112" t="s">
        <v>45</v>
      </c>
      <c r="H24" s="113"/>
      <c r="I24" s="130" t="s">
        <v>39</v>
      </c>
      <c r="J24" s="130"/>
      <c r="K24" s="55" t="s">
        <v>56</v>
      </c>
    </row>
    <row r="25" spans="1:11" ht="15.75">
      <c r="A25" s="108" t="s">
        <v>40</v>
      </c>
      <c r="B25" s="109"/>
      <c r="C25" s="109"/>
      <c r="D25" s="52">
        <v>0</v>
      </c>
      <c r="E25" s="49">
        <v>1</v>
      </c>
      <c r="F25" s="50">
        <f>IF(E25=1,M3,IF(AND(J1="LS",E25=2),M5,IF(AND(J1="CS",E25=2),M4,IF(E25=3,M6,"ERROR"))))</f>
        <v>2.67</v>
      </c>
      <c r="G25" s="49">
        <v>1</v>
      </c>
      <c r="H25" s="51">
        <f>IF(G25=1,M11,IF(G25=2,M12,IF(G25=3,M13,"ERROR")))</f>
        <v>1</v>
      </c>
      <c r="I25" s="49" t="s">
        <v>23</v>
      </c>
      <c r="J25" s="50">
        <f>IF(I25="Y",M17,IF(I25="N",M18,"ERROR"))</f>
        <v>1.5</v>
      </c>
      <c r="K25" s="48">
        <f>IF(AND(OR(E25=2,E25=3),G25=1),D25*F18*F25*H25*J25,IF(OR(E25=1,E25=4),D25*F18*F25*H25*J25,"FALSE"))*60</f>
        <v>0</v>
      </c>
    </row>
    <row r="26" spans="1:11" ht="15.75">
      <c r="A26" s="110" t="s">
        <v>41</v>
      </c>
      <c r="B26" s="111"/>
      <c r="C26" s="111"/>
      <c r="D26" s="53">
        <v>1</v>
      </c>
      <c r="E26" s="49">
        <v>2</v>
      </c>
      <c r="F26" s="50">
        <f>IF(E26=1,M3,IF(AND(J1="LS",E26=2),M5,IF(AND(J1="CS",E26=2),M4,IF(E26=3,M6,"ERROR"))))</f>
        <v>0.53</v>
      </c>
      <c r="G26" s="49">
        <v>1</v>
      </c>
      <c r="H26" s="51">
        <f>IF(G26=1,M11,IF(G26=2,M12,IF(G26=3,M13,"ERROR")))</f>
        <v>1</v>
      </c>
      <c r="I26" s="49" t="s">
        <v>23</v>
      </c>
      <c r="J26" s="50">
        <f>IF(I26="Y",M17,IF(I26="N",M18,"ERROR"))</f>
        <v>1.5</v>
      </c>
      <c r="K26" s="48">
        <f>IF(AND(OR(E26=2,E26=3),G26=1),D26*F18*F26*H26*J26,IF(OR(E26=1,E26=4),D26*F18*F26*H26*J26,"FALSE"))*60</f>
        <v>1369.6593214384266</v>
      </c>
    </row>
    <row r="27" spans="1:11" ht="15.75">
      <c r="A27" s="103" t="s">
        <v>42</v>
      </c>
      <c r="B27" s="104"/>
      <c r="C27" s="104"/>
      <c r="D27" s="54">
        <v>1</v>
      </c>
      <c r="E27" s="49">
        <v>2</v>
      </c>
      <c r="F27" s="50">
        <f>IF(E27=1,M3,IF(AND(J1="LS",E27=2),M5,IF(AND(J1="CS",E27=2),M4,IF(E27=3,M6,"ERROR"))))</f>
        <v>0.53</v>
      </c>
      <c r="G27" s="49">
        <v>1</v>
      </c>
      <c r="H27" s="51">
        <f>IF(G27=1,M11,IF(G27=2,M12,IF(G27=3,M13,"ERROR")))</f>
        <v>1</v>
      </c>
      <c r="I27" s="49" t="s">
        <v>23</v>
      </c>
      <c r="J27" s="50">
        <f>IF(I27="Y",M17,IF(I27="N",M18,"ERROR"))</f>
        <v>1.5</v>
      </c>
      <c r="K27" s="48">
        <f>IF(AND(OR(E27=2,E27=3),G27=1),D27*F19*F27*H27*J27,IF(OR(E27=1,E27=4),D27*F19*F27*H27*J27,"FALSE"))*60</f>
        <v>1551.574043572913</v>
      </c>
    </row>
  </sheetData>
  <sheetProtection password="CC6A" sheet="1" objects="1" scenarios="1"/>
  <mergeCells count="34">
    <mergeCell ref="F4:F7"/>
    <mergeCell ref="E4:E7"/>
    <mergeCell ref="E1:I2"/>
    <mergeCell ref="J1:J2"/>
    <mergeCell ref="L9:L10"/>
    <mergeCell ref="M9:N10"/>
    <mergeCell ref="M11:N11"/>
    <mergeCell ref="M12:N12"/>
    <mergeCell ref="I24:J24"/>
    <mergeCell ref="M13:N13"/>
    <mergeCell ref="L15:L16"/>
    <mergeCell ref="M15:N16"/>
    <mergeCell ref="M17:N17"/>
    <mergeCell ref="L20:N20"/>
    <mergeCell ref="A25:C25"/>
    <mergeCell ref="A26:C26"/>
    <mergeCell ref="A27:C27"/>
    <mergeCell ref="M18:N18"/>
    <mergeCell ref="A23:D24"/>
    <mergeCell ref="E23:F23"/>
    <mergeCell ref="G23:H23"/>
    <mergeCell ref="I23:J23"/>
    <mergeCell ref="E24:F24"/>
    <mergeCell ref="G24:H24"/>
    <mergeCell ref="Q1:T1"/>
    <mergeCell ref="F16:H16"/>
    <mergeCell ref="D16:E16"/>
    <mergeCell ref="F20:H20"/>
    <mergeCell ref="D18:E18"/>
    <mergeCell ref="D19:E19"/>
    <mergeCell ref="D20:E20"/>
    <mergeCell ref="F18:H18"/>
    <mergeCell ref="F19:H19"/>
    <mergeCell ref="F17:H17"/>
  </mergeCells>
  <hyperlinks>
    <hyperlink ref="Q1" r:id="rId1" display="http://www.pvtools.weebly.com/"/>
  </hyperlinks>
  <printOptions/>
  <pageMargins left="0.75" right="0.75" top="1" bottom="1" header="0.5" footer="0.5"/>
  <pageSetup horizontalDpi="120" verticalDpi="120" orientation="landscape" r:id="rId3"/>
  <headerFooter alignWithMargins="0">
    <oddHeader>&amp;C&amp;"Arial,Bold"&amp;16LONG SEAM/CIRC SEAM WELD KG &amp;&amp; RUN TIME ESTIMATION</oddHeader>
    <oddFooter>&amp;L&amp;F&amp;C&amp;D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75" zoomScaleNormal="75" zoomScalePageLayoutView="0" workbookViewId="0" topLeftCell="A1">
      <selection activeCell="K19" sqref="K19"/>
    </sheetView>
  </sheetViews>
  <sheetFormatPr defaultColWidth="9.140625" defaultRowHeight="12.75"/>
  <cols>
    <col min="3" max="3" width="1.28515625" style="0" customWidth="1"/>
    <col min="4" max="4" width="8.7109375" style="0" customWidth="1"/>
    <col min="6" max="6" width="5.28125" style="0" customWidth="1"/>
    <col min="7" max="7" width="8.140625" style="0" customWidth="1"/>
    <col min="8" max="8" width="3.57421875" style="0" customWidth="1"/>
    <col min="11" max="11" width="12.140625" style="0" customWidth="1"/>
    <col min="12" max="12" width="6.8515625" style="0" customWidth="1"/>
    <col min="13" max="13" width="6.421875" style="0" customWidth="1"/>
    <col min="14" max="14" width="13.57421875" style="0" customWidth="1"/>
    <col min="15" max="15" width="7.28125" style="0" customWidth="1"/>
  </cols>
  <sheetData>
    <row r="1" spans="1:20" s="37" customFormat="1" ht="15.75">
      <c r="A1" s="36" t="s">
        <v>15</v>
      </c>
      <c r="E1" s="93" t="s">
        <v>46</v>
      </c>
      <c r="F1" s="93"/>
      <c r="G1" s="93"/>
      <c r="H1" s="93"/>
      <c r="I1" s="93"/>
      <c r="J1" s="94" t="s">
        <v>47</v>
      </c>
      <c r="L1" s="138" t="s">
        <v>43</v>
      </c>
      <c r="M1" s="138"/>
      <c r="N1" s="138"/>
      <c r="O1" s="63"/>
      <c r="P1" s="89" t="s">
        <v>58</v>
      </c>
      <c r="Q1" s="90" t="s">
        <v>59</v>
      </c>
      <c r="R1" s="90"/>
      <c r="S1" s="90"/>
      <c r="T1" s="91"/>
    </row>
    <row r="2" spans="1:15" ht="15.75">
      <c r="A2" s="14"/>
      <c r="E2" s="93"/>
      <c r="F2" s="93"/>
      <c r="G2" s="93"/>
      <c r="H2" s="93"/>
      <c r="I2" s="93"/>
      <c r="J2" s="94"/>
      <c r="L2" s="143" t="s">
        <v>17</v>
      </c>
      <c r="M2" s="143"/>
      <c r="N2" s="71" t="s">
        <v>18</v>
      </c>
      <c r="O2" s="62"/>
    </row>
    <row r="3" spans="1:15" ht="12.75">
      <c r="A3" s="14"/>
      <c r="B3" s="7" t="s">
        <v>4</v>
      </c>
      <c r="D3" s="4">
        <v>1</v>
      </c>
      <c r="E3" s="139">
        <f>G3-E11-E9</f>
        <v>78.1047184259805</v>
      </c>
      <c r="F3" s="97" t="s">
        <v>2</v>
      </c>
      <c r="G3" s="98">
        <v>90</v>
      </c>
      <c r="J3" s="77"/>
      <c r="L3" s="144" t="s">
        <v>33</v>
      </c>
      <c r="M3" s="144"/>
      <c r="N3" s="47">
        <v>2.67</v>
      </c>
      <c r="O3" s="63"/>
    </row>
    <row r="4" spans="1:15" ht="12.75">
      <c r="A4" s="14"/>
      <c r="E4" s="139"/>
      <c r="F4" s="97"/>
      <c r="G4" s="98"/>
      <c r="J4" s="77"/>
      <c r="L4" s="144" t="s">
        <v>34</v>
      </c>
      <c r="M4" s="144"/>
      <c r="N4" s="47">
        <v>0.44</v>
      </c>
      <c r="O4" s="63"/>
    </row>
    <row r="5" spans="5:15" ht="12.75">
      <c r="E5" s="139"/>
      <c r="F5" s="97"/>
      <c r="G5" s="98"/>
      <c r="L5" s="145" t="s">
        <v>19</v>
      </c>
      <c r="M5" s="145"/>
      <c r="N5" s="47">
        <v>0.53</v>
      </c>
      <c r="O5" s="63"/>
    </row>
    <row r="6" spans="5:15" ht="12.75">
      <c r="E6" s="139"/>
      <c r="F6" s="97"/>
      <c r="G6" s="98"/>
      <c r="L6" s="144" t="s">
        <v>31</v>
      </c>
      <c r="M6" s="144"/>
      <c r="N6" s="47">
        <v>2</v>
      </c>
      <c r="O6" s="63"/>
    </row>
    <row r="7" spans="2:15" ht="12.75">
      <c r="B7" s="7"/>
      <c r="D7" s="4"/>
      <c r="E7" s="139"/>
      <c r="F7" s="97"/>
      <c r="G7" s="98"/>
      <c r="H7" s="8"/>
      <c r="J7" s="12"/>
      <c r="K7" s="4"/>
      <c r="L7" s="144" t="s">
        <v>32</v>
      </c>
      <c r="M7" s="144"/>
      <c r="N7" s="47">
        <v>10</v>
      </c>
      <c r="O7" s="63"/>
    </row>
    <row r="8" spans="5:15" ht="12.75">
      <c r="E8" s="139"/>
      <c r="F8" s="97"/>
      <c r="G8" s="98"/>
      <c r="J8" s="12" t="str">
        <f>IF(J1="LS","LG OF LONG SEAM=",IF(J1="CS","I/D OF SHELL","ERROR"))</f>
        <v>I/D OF SHELL</v>
      </c>
      <c r="K8" s="4">
        <v>2600</v>
      </c>
      <c r="L8" s="4"/>
      <c r="M8" s="64"/>
      <c r="N8" s="64"/>
      <c r="O8" s="67"/>
    </row>
    <row r="9" spans="3:15" ht="12.75" customHeight="1">
      <c r="C9" s="12" t="s">
        <v>16</v>
      </c>
      <c r="D9" s="4">
        <v>12</v>
      </c>
      <c r="E9" s="140">
        <f>D9*(1-SIN(RADIANS(D3/2)))</f>
        <v>11.895281574019512</v>
      </c>
      <c r="F9" s="97"/>
      <c r="G9" s="98"/>
      <c r="H9" s="8"/>
      <c r="J9" s="12" t="s">
        <v>26</v>
      </c>
      <c r="K9" s="69" t="s">
        <v>27</v>
      </c>
      <c r="L9" s="146" t="s">
        <v>20</v>
      </c>
      <c r="M9" s="148" t="s">
        <v>21</v>
      </c>
      <c r="N9" s="149"/>
      <c r="O9" s="63"/>
    </row>
    <row r="10" spans="5:15" ht="12.75">
      <c r="E10" s="140"/>
      <c r="F10" s="97"/>
      <c r="G10" s="98"/>
      <c r="H10" s="8"/>
      <c r="L10" s="147"/>
      <c r="M10" s="150"/>
      <c r="N10" s="151"/>
      <c r="O10" s="63"/>
    </row>
    <row r="11" spans="4:15" ht="12.75">
      <c r="D11" s="11" t="s">
        <v>3</v>
      </c>
      <c r="E11" s="6">
        <v>0</v>
      </c>
      <c r="F11" s="97"/>
      <c r="G11" s="98"/>
      <c r="H11" s="8"/>
      <c r="J11" s="38" t="s">
        <v>28</v>
      </c>
      <c r="K11" s="41">
        <f>IF(K9="SS",0.000008,IF(K9="STEEL",0.00000785,"ERROR"))</f>
        <v>7.85E-06</v>
      </c>
      <c r="L11" s="46" t="s">
        <v>35</v>
      </c>
      <c r="M11" s="118">
        <v>1</v>
      </c>
      <c r="N11" s="119"/>
      <c r="O11" s="63"/>
    </row>
    <row r="12" spans="5:15" ht="12.75">
      <c r="E12" s="2"/>
      <c r="F12" s="5"/>
      <c r="G12" s="8"/>
      <c r="H12" s="8"/>
      <c r="L12" s="46" t="s">
        <v>36</v>
      </c>
      <c r="M12" s="118">
        <v>1.1</v>
      </c>
      <c r="N12" s="119"/>
      <c r="O12" s="63"/>
    </row>
    <row r="13" spans="2:15" ht="12.75">
      <c r="B13" s="10" t="s">
        <v>5</v>
      </c>
      <c r="D13" s="9">
        <v>2</v>
      </c>
      <c r="E13" s="2"/>
      <c r="F13" s="5"/>
      <c r="G13" s="8"/>
      <c r="L13" s="46" t="s">
        <v>37</v>
      </c>
      <c r="M13" s="118">
        <v>1.6</v>
      </c>
      <c r="N13" s="119"/>
      <c r="O13" s="63"/>
    </row>
    <row r="14" spans="2:15" ht="12.75">
      <c r="B14" s="7"/>
      <c r="C14" s="1"/>
      <c r="D14" s="4"/>
      <c r="F14" s="13" t="s">
        <v>6</v>
      </c>
      <c r="M14" s="65"/>
      <c r="N14" s="65"/>
      <c r="O14" s="67"/>
    </row>
    <row r="15" spans="12:15" ht="12.75" customHeight="1">
      <c r="L15" s="146" t="s">
        <v>22</v>
      </c>
      <c r="M15" s="148" t="s">
        <v>21</v>
      </c>
      <c r="N15" s="149"/>
      <c r="O15" s="63"/>
    </row>
    <row r="16" spans="4:15" s="18" customFormat="1" ht="12.75">
      <c r="D16" s="135" t="s">
        <v>7</v>
      </c>
      <c r="E16" s="137"/>
      <c r="F16" s="45" t="s">
        <v>8</v>
      </c>
      <c r="G16" s="21"/>
      <c r="H16" s="20"/>
      <c r="I16" s="73"/>
      <c r="J16" s="44"/>
      <c r="L16" s="147"/>
      <c r="M16" s="150"/>
      <c r="N16" s="151"/>
      <c r="O16" s="25"/>
    </row>
    <row r="17" spans="1:15" s="18" customFormat="1" ht="12.75">
      <c r="A17" s="22"/>
      <c r="B17" s="23"/>
      <c r="C17" s="24"/>
      <c r="D17" s="141"/>
      <c r="E17" s="142"/>
      <c r="F17" s="105"/>
      <c r="G17" s="106"/>
      <c r="H17" s="107"/>
      <c r="I17" s="43"/>
      <c r="J17" s="74"/>
      <c r="L17" s="60" t="s">
        <v>29</v>
      </c>
      <c r="M17" s="118">
        <v>1.5</v>
      </c>
      <c r="N17" s="119"/>
      <c r="O17" s="25"/>
    </row>
    <row r="18" spans="1:15" s="18" customFormat="1" ht="12.75">
      <c r="A18" s="25" t="s">
        <v>9</v>
      </c>
      <c r="B18" s="26"/>
      <c r="C18" s="27"/>
      <c r="D18" s="114">
        <f>D13*G3+(180-D3)*PI()*D9*D9/360+D9*SIN(RADIANS(D3/2))*D9*COS(RADIANS(D3/2))+(G3-E11-D9)*D9*COS(RADIANS(D3/2))*2+E3*E3*TAN(RADIANS(D3/2))+(D13+2*D9*COS(RADIANS(D3/2))+2*E3*TAN(RADIANS(D3/2)))*3</f>
        <v>2413.4471651058225</v>
      </c>
      <c r="E18" s="115"/>
      <c r="F18" s="114">
        <f>IF(J1="CS",D18*K11*PI()*(K8+G3),IF(J1="LS",D18*K11*K8,"ERROR"))</f>
        <v>160.10673646664864</v>
      </c>
      <c r="G18" s="120"/>
      <c r="H18" s="115"/>
      <c r="I18" s="28"/>
      <c r="J18" s="29"/>
      <c r="L18" s="60" t="s">
        <v>30</v>
      </c>
      <c r="M18" s="118">
        <v>1</v>
      </c>
      <c r="N18" s="119"/>
      <c r="O18" s="25"/>
    </row>
    <row r="19" spans="1:15" s="18" customFormat="1" ht="12.75">
      <c r="A19" s="30" t="s">
        <v>10</v>
      </c>
      <c r="B19" s="31"/>
      <c r="C19" s="32"/>
      <c r="D19" s="116">
        <f>IF(G3&gt;M22,N22,N21)*(IF(G3&gt;M22,N22,N21)+E11)*PI()/2+IF(G3&gt;M22,N22,N21)*2*3</f>
        <v>298.19467105846513</v>
      </c>
      <c r="E19" s="117"/>
      <c r="F19" s="116">
        <f>IF(J1="CS",D19*K11*PI()*(K8+G3),IF(J1="LS",D19*K11*K8,"ERROR"))</f>
        <v>19.782067867569527</v>
      </c>
      <c r="G19" s="121"/>
      <c r="H19" s="121"/>
      <c r="I19" s="28"/>
      <c r="J19" s="29"/>
      <c r="M19" s="23"/>
      <c r="N19" s="23"/>
      <c r="O19" s="26"/>
    </row>
    <row r="20" spans="1:15" s="18" customFormat="1" ht="12.75">
      <c r="A20" s="33" t="s">
        <v>11</v>
      </c>
      <c r="B20" s="34"/>
      <c r="C20" s="35"/>
      <c r="D20" s="99">
        <f>SUM(D18:E19)</f>
        <v>2711.6418361642877</v>
      </c>
      <c r="E20" s="101"/>
      <c r="F20" s="99">
        <f>SUM(F18:G19)</f>
        <v>179.88880433421818</v>
      </c>
      <c r="G20" s="100"/>
      <c r="H20" s="100"/>
      <c r="I20" s="72"/>
      <c r="J20" s="42"/>
      <c r="L20" s="122" t="s">
        <v>44</v>
      </c>
      <c r="M20" s="123"/>
      <c r="N20" s="124"/>
      <c r="O20" s="25"/>
    </row>
    <row r="21" spans="12:15" ht="12.75">
      <c r="L21" s="78" t="s">
        <v>50</v>
      </c>
      <c r="M21" s="79">
        <v>30</v>
      </c>
      <c r="N21" s="70">
        <v>6</v>
      </c>
      <c r="O21" s="68"/>
    </row>
    <row r="22" spans="12:14" ht="12.75">
      <c r="L22" s="78" t="s">
        <v>51</v>
      </c>
      <c r="M22" s="80">
        <f>M21</f>
        <v>30</v>
      </c>
      <c r="N22" s="70">
        <v>12</v>
      </c>
    </row>
    <row r="23" spans="1:12" ht="15.75">
      <c r="A23" s="126" t="str">
        <f>IF(J1="CS","CIRC SEAM",IF(J1="LS","LONG SEAM","C/S OR L/S??"))</f>
        <v>CIRC SEAM</v>
      </c>
      <c r="B23" s="126"/>
      <c r="C23" s="126"/>
      <c r="D23" s="127"/>
      <c r="E23" s="102" t="s">
        <v>17</v>
      </c>
      <c r="F23" s="102"/>
      <c r="G23" s="102" t="s">
        <v>38</v>
      </c>
      <c r="H23" s="102"/>
      <c r="I23" s="102" t="s">
        <v>24</v>
      </c>
      <c r="J23" s="102"/>
      <c r="K23" s="56" t="s">
        <v>25</v>
      </c>
      <c r="L23" s="75"/>
    </row>
    <row r="24" spans="1:12" ht="15.75">
      <c r="A24" s="128"/>
      <c r="B24" s="128"/>
      <c r="C24" s="128"/>
      <c r="D24" s="129"/>
      <c r="E24" s="112" t="s">
        <v>45</v>
      </c>
      <c r="F24" s="113"/>
      <c r="G24" s="112" t="s">
        <v>45</v>
      </c>
      <c r="H24" s="113"/>
      <c r="I24" s="130" t="s">
        <v>39</v>
      </c>
      <c r="J24" s="130"/>
      <c r="K24" s="55" t="s">
        <v>56</v>
      </c>
      <c r="L24" s="75"/>
    </row>
    <row r="25" spans="1:12" ht="15.75">
      <c r="A25" s="108" t="s">
        <v>40</v>
      </c>
      <c r="B25" s="109"/>
      <c r="C25" s="109"/>
      <c r="D25" s="52">
        <v>0.2</v>
      </c>
      <c r="E25" s="49">
        <v>1</v>
      </c>
      <c r="F25" s="50">
        <f>IF(E25=1,N3,IF(AND(J1="LS",E25=2),N5,IF(AND(J1="CS",E25=2),N4,IF(E25=3,N6,IF(E25=4,N7,"ERROR")))))</f>
        <v>2.67</v>
      </c>
      <c r="G25" s="49">
        <v>1</v>
      </c>
      <c r="H25" s="51">
        <f>IF(G25=1,M11,IF(G25=2,M12,IF(G25=3,M13,"ERROR")))</f>
        <v>1</v>
      </c>
      <c r="I25" s="49" t="s">
        <v>23</v>
      </c>
      <c r="J25" s="50">
        <f>IF(I25="Y",M17,IF(I25="N",M18,"ERROR"))</f>
        <v>1.5</v>
      </c>
      <c r="K25" s="48">
        <f>IF(AND(OR(E25=2,E25=3),G25=1),D25*F18*F25*H25*J25,IF(OR(E25=1,E25=4),D25*F18*F25*H25*J25,"FALSE"))*60</f>
        <v>7694.729754587134</v>
      </c>
      <c r="L25" s="76"/>
    </row>
    <row r="26" spans="1:12" ht="15.75">
      <c r="A26" s="110" t="s">
        <v>41</v>
      </c>
      <c r="B26" s="111"/>
      <c r="C26" s="111"/>
      <c r="D26" s="53">
        <v>0.8</v>
      </c>
      <c r="E26" s="49">
        <v>2</v>
      </c>
      <c r="F26" s="50">
        <f>IF(E26=1,N3,IF(AND(J1="LS",E26=2),N5,IF(AND(J1="CS",E26=2),N4,IF(E26=3,N6,"ERROR"))))</f>
        <v>0.44</v>
      </c>
      <c r="G26" s="49">
        <v>1</v>
      </c>
      <c r="H26" s="51">
        <f>IF(G26=1,M11,IF(G26=2,M12,IF(G26=3,M13,"ERROR")))</f>
        <v>1</v>
      </c>
      <c r="I26" s="49" t="s">
        <v>23</v>
      </c>
      <c r="J26" s="50">
        <f>IF(I26="Y",M17,IF(I26="N",M18,"ERROR"))</f>
        <v>1.5</v>
      </c>
      <c r="K26" s="48">
        <f>IF(AND(OR(E26=2,E26=3),G26=1),D26*F18*F26*H26*J26,IF(OR(E26=1,E26=4),D26*F18*F26*H26*J26,"FALSE"))*60</f>
        <v>5072.181411263429</v>
      </c>
      <c r="L26" s="76"/>
    </row>
    <row r="27" spans="1:12" ht="15.75">
      <c r="A27" s="103" t="s">
        <v>42</v>
      </c>
      <c r="B27" s="104"/>
      <c r="C27" s="104"/>
      <c r="D27" s="54">
        <v>1</v>
      </c>
      <c r="E27" s="49">
        <v>2</v>
      </c>
      <c r="F27" s="50">
        <f>IF(E27=1,N3,IF(AND(J1="LS",E27=2),N5,IF(AND(J1="CS",E27=2),N4,IF(E27=3,N6,"ERROR"))))</f>
        <v>0.44</v>
      </c>
      <c r="G27" s="49">
        <v>1</v>
      </c>
      <c r="H27" s="51">
        <f>IF(G27=1,M11,IF(G27=2,M12,IF(G27=3,M13,"ERROR")))</f>
        <v>1</v>
      </c>
      <c r="I27" s="49" t="s">
        <v>23</v>
      </c>
      <c r="J27" s="50">
        <f>IF(I27="Y",M17,IF(I27="N",M18,"ERROR"))</f>
        <v>1.5</v>
      </c>
      <c r="K27" s="48">
        <f>IF(AND(OR(E27=2,E27=3),G27=1),D27*F19*F27*H27*J27,IF(OR(E27=1,E27=4),D27*F19*F27*H27*J27,"FALSE"))*60</f>
        <v>783.3698875557532</v>
      </c>
      <c r="L27" s="76"/>
    </row>
  </sheetData>
  <sheetProtection password="CC6A" sheet="1" objects="1" scenarios="1"/>
  <mergeCells count="43">
    <mergeCell ref="M15:N16"/>
    <mergeCell ref="M17:N17"/>
    <mergeCell ref="M18:N18"/>
    <mergeCell ref="E1:I2"/>
    <mergeCell ref="J1:J2"/>
    <mergeCell ref="D16:E16"/>
    <mergeCell ref="L20:N20"/>
    <mergeCell ref="L9:L10"/>
    <mergeCell ref="M9:N10"/>
    <mergeCell ref="M11:N11"/>
    <mergeCell ref="M12:N12"/>
    <mergeCell ref="M13:N13"/>
    <mergeCell ref="L15:L16"/>
    <mergeCell ref="D19:E19"/>
    <mergeCell ref="D17:E17"/>
    <mergeCell ref="D18:E18"/>
    <mergeCell ref="F19:H19"/>
    <mergeCell ref="L2:M2"/>
    <mergeCell ref="L3:M3"/>
    <mergeCell ref="L4:M4"/>
    <mergeCell ref="L5:M5"/>
    <mergeCell ref="L6:M6"/>
    <mergeCell ref="L7:M7"/>
    <mergeCell ref="A23:D24"/>
    <mergeCell ref="E23:F23"/>
    <mergeCell ref="F20:H20"/>
    <mergeCell ref="F17:H17"/>
    <mergeCell ref="F18:H18"/>
    <mergeCell ref="L1:N1"/>
    <mergeCell ref="E3:E8"/>
    <mergeCell ref="E9:E10"/>
    <mergeCell ref="F3:F11"/>
    <mergeCell ref="G3:G11"/>
    <mergeCell ref="Q1:T1"/>
    <mergeCell ref="A26:C26"/>
    <mergeCell ref="A27:C27"/>
    <mergeCell ref="I23:J23"/>
    <mergeCell ref="E24:F24"/>
    <mergeCell ref="G24:H24"/>
    <mergeCell ref="I24:J24"/>
    <mergeCell ref="G23:H23"/>
    <mergeCell ref="A25:C25"/>
    <mergeCell ref="D20:E20"/>
  </mergeCells>
  <hyperlinks>
    <hyperlink ref="Q1" r:id="rId1" display="http://www.pvtools.weebly.com/"/>
  </hyperlinks>
  <printOptions/>
  <pageMargins left="0.75" right="0.75" top="1" bottom="1" header="0.5" footer="0.5"/>
  <pageSetup horizontalDpi="120" verticalDpi="120" orientation="landscape" r:id="rId3"/>
  <headerFooter alignWithMargins="0">
    <oddHeader>&amp;C&amp;"Arial,Bold"&amp;16LONG SEAM/CIRC SEAM WELD KG &amp;&amp; RUN TIME ESTIMATION</oddHeader>
    <oddFooter>&amp;L&amp;F&amp;C&amp;D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rdm</dc:creator>
  <cp:keywords/>
  <dc:description/>
  <cp:lastModifiedBy>comp</cp:lastModifiedBy>
  <cp:lastPrinted>1999-08-17T05:35:52Z</cp:lastPrinted>
  <dcterms:created xsi:type="dcterms:W3CDTF">1998-09-25T04:51:54Z</dcterms:created>
  <dcterms:modified xsi:type="dcterms:W3CDTF">2016-06-09T14:38:31Z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